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definedNames/>
  <calcPr fullCalcOnLoad="1"/>
</workbook>
</file>

<file path=xl/sharedStrings.xml><?xml version="1.0" encoding="utf-8"?>
<sst xmlns="http://schemas.openxmlformats.org/spreadsheetml/2006/main" count="135" uniqueCount="73">
  <si>
    <t>Elaborada por R. A. Zanoniani, Pasturas, Fac. Agronomía. S. Prod. F. Veterinaria, EEMAC</t>
  </si>
  <si>
    <t>digitar las hás</t>
  </si>
  <si>
    <t>utilizable</t>
  </si>
  <si>
    <t>MS/há/mes</t>
  </si>
  <si>
    <t>utilización (%)</t>
  </si>
  <si>
    <t>MS utilizable/há</t>
  </si>
  <si>
    <t>M</t>
  </si>
  <si>
    <t>A</t>
  </si>
  <si>
    <t>J</t>
  </si>
  <si>
    <t>S</t>
  </si>
  <si>
    <t>O</t>
  </si>
  <si>
    <t>N</t>
  </si>
  <si>
    <t>D</t>
  </si>
  <si>
    <t>E</t>
  </si>
  <si>
    <t>F</t>
  </si>
  <si>
    <t>FCORR</t>
  </si>
  <si>
    <t>TOTAL</t>
  </si>
  <si>
    <t>CI + Prad.Fest+T.bl+L.c</t>
  </si>
  <si>
    <t>VI + Prad.</t>
  </si>
  <si>
    <t>Prad 1</t>
  </si>
  <si>
    <t>Prad. 2º</t>
  </si>
  <si>
    <t>Prad. 3º</t>
  </si>
  <si>
    <t>Prad. 4º o más</t>
  </si>
  <si>
    <t>Prad. 4º/ ren.Av.+ TR</t>
  </si>
  <si>
    <t>Renov. 2º</t>
  </si>
  <si>
    <t>RG + TB + TR</t>
  </si>
  <si>
    <t>Alfalfa 1º</t>
  </si>
  <si>
    <t>Alfalfa 2º</t>
  </si>
  <si>
    <t>Alfalfa 3º</t>
  </si>
  <si>
    <t>Alfalfa 4º</t>
  </si>
  <si>
    <t>Avena</t>
  </si>
  <si>
    <t>Av+RG</t>
  </si>
  <si>
    <t>Trébol Alejandrino</t>
  </si>
  <si>
    <t>Raigrás</t>
  </si>
  <si>
    <t>Raigras ciclo largo</t>
  </si>
  <si>
    <t>Sorgo Forrajero</t>
  </si>
  <si>
    <t>Sudan</t>
  </si>
  <si>
    <t>Maíz chala</t>
  </si>
  <si>
    <t>AA+D+Tb siembra tarde</t>
  </si>
  <si>
    <t>2do</t>
  </si>
  <si>
    <t>3er</t>
  </si>
  <si>
    <t>4to</t>
  </si>
  <si>
    <t>Avena 1ER.</t>
  </si>
  <si>
    <t>Tr+Ach</t>
  </si>
  <si>
    <t>Tr+Rg</t>
  </si>
  <si>
    <t>Tr+Ach+Rg</t>
  </si>
  <si>
    <t>Av+Rg+Tr</t>
  </si>
  <si>
    <t>TR+F+Tb+Lc</t>
  </si>
  <si>
    <t>3ro</t>
  </si>
  <si>
    <t>Campo Natural Bajo</t>
  </si>
  <si>
    <t>C. Natural FBentos, BasaltoProfundo,CristalinoProfundo</t>
  </si>
  <si>
    <t>C. Natural BS Medio</t>
  </si>
  <si>
    <t>C. Natural BSup.</t>
  </si>
  <si>
    <t>C. Natural BS Muy Sup.</t>
  </si>
  <si>
    <t>C. Natural Cret.</t>
  </si>
  <si>
    <t>Dac., Tb, Lotus</t>
  </si>
  <si>
    <t>1er.año con Avena</t>
  </si>
  <si>
    <t>CNM L. Rincón</t>
  </si>
  <si>
    <t>Dac, Tb y Alfalfa, s. temp</t>
  </si>
  <si>
    <t>Fest, Tb, Alfalfa</t>
  </si>
  <si>
    <t>Rg + Lc+ TR</t>
  </si>
  <si>
    <t>kg MS útil / mes=&gt;</t>
  </si>
  <si>
    <t>OTOÑO</t>
  </si>
  <si>
    <t>INV</t>
  </si>
  <si>
    <t>PRIM</t>
  </si>
  <si>
    <t>VER</t>
  </si>
  <si>
    <t>Digestibilidad</t>
  </si>
  <si>
    <t>I</t>
  </si>
  <si>
    <t>P</t>
  </si>
  <si>
    <t>V</t>
  </si>
  <si>
    <t>CN</t>
  </si>
  <si>
    <t>50-61</t>
  </si>
  <si>
    <t>CNM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</si>
</sst>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_-;\-* #,##0_-;_-* \-_-;_-@_-"/>
    <numFmt numFmtId="166" formatCode="#,##0_ ;\-#,##0\ "/>
    <numFmt numFmtId="167" formatCode="#,##0.000_ ;\-#,##0.000\ "/>
    <numFmt numFmtId="168" formatCode="#,##0"/>
    <numFmt numFmtId="169" formatCode="#,##0.0_ ;\-#,##0.0\ "/>
    <numFmt numFmtId="170" formatCode="0"/>
    <numFmt numFmtId="171" formatCode="#,##0_ ;[RED]\-#,##0\ "/>
  </numFmts>
  <fonts count="12">
    <font>
      <sz val="12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6" fontId="3" fillId="0" borderId="0" xfId="16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6" fontId="2" fillId="0" borderId="1" xfId="16" applyNumberFormat="1" applyFont="1" applyFill="1" applyBorder="1" applyAlignment="1" applyProtection="1">
      <alignment horizontal="center"/>
      <protection/>
    </xf>
    <xf numFmtId="164" fontId="2" fillId="0" borderId="0" xfId="0" applyFont="1" applyAlignment="1">
      <alignment horizontal="center"/>
    </xf>
    <xf numFmtId="164" fontId="2" fillId="0" borderId="2" xfId="0" applyFont="1" applyBorder="1" applyAlignment="1">
      <alignment horizontal="right"/>
    </xf>
    <xf numFmtId="166" fontId="2" fillId="0" borderId="1" xfId="0" applyNumberFormat="1" applyFont="1" applyBorder="1" applyAlignment="1">
      <alignment horizontal="center"/>
    </xf>
    <xf numFmtId="164" fontId="3" fillId="0" borderId="0" xfId="0" applyFont="1" applyAlignment="1" applyProtection="1">
      <alignment/>
      <protection locked="0"/>
    </xf>
    <xf numFmtId="167" fontId="4" fillId="0" borderId="0" xfId="16" applyNumberFormat="1" applyFont="1" applyFill="1" applyBorder="1" applyAlignment="1" applyProtection="1">
      <alignment horizontal="center"/>
      <protection/>
    </xf>
    <xf numFmtId="167" fontId="4" fillId="2" borderId="0" xfId="16" applyNumberFormat="1" applyFont="1" applyFill="1" applyBorder="1" applyAlignment="1" applyProtection="1">
      <alignment horizontal="center"/>
      <protection/>
    </xf>
    <xf numFmtId="167" fontId="5" fillId="0" borderId="0" xfId="16" applyNumberFormat="1" applyFont="1" applyFill="1" applyBorder="1" applyAlignment="1" applyProtection="1">
      <alignment horizontal="center"/>
      <protection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4" fontId="0" fillId="0" borderId="0" xfId="0" applyAlignment="1">
      <alignment horizontal="center"/>
    </xf>
    <xf numFmtId="169" fontId="4" fillId="0" borderId="0" xfId="16" applyNumberFormat="1" applyFont="1" applyFill="1" applyBorder="1" applyAlignment="1" applyProtection="1">
      <alignment horizontal="center"/>
      <protection/>
    </xf>
    <xf numFmtId="164" fontId="6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8" fontId="3" fillId="0" borderId="2" xfId="0" applyNumberFormat="1" applyFont="1" applyBorder="1" applyAlignment="1">
      <alignment/>
    </xf>
    <xf numFmtId="168" fontId="0" fillId="0" borderId="0" xfId="0" applyNumberFormat="1" applyAlignment="1">
      <alignment/>
    </xf>
    <xf numFmtId="167" fontId="4" fillId="2" borderId="1" xfId="16" applyNumberFormat="1" applyFont="1" applyFill="1" applyBorder="1" applyAlignment="1" applyProtection="1">
      <alignment horizontal="center"/>
      <protection/>
    </xf>
    <xf numFmtId="164" fontId="3" fillId="0" borderId="2" xfId="0" applyFont="1" applyBorder="1" applyAlignment="1">
      <alignment/>
    </xf>
    <xf numFmtId="168" fontId="3" fillId="0" borderId="1" xfId="0" applyNumberFormat="1" applyFont="1" applyBorder="1" applyAlignment="1">
      <alignment/>
    </xf>
    <xf numFmtId="164" fontId="3" fillId="0" borderId="0" xfId="0" applyFont="1" applyFill="1" applyBorder="1" applyAlignment="1">
      <alignment/>
    </xf>
    <xf numFmtId="166" fontId="4" fillId="0" borderId="0" xfId="16" applyNumberFormat="1" applyFont="1" applyFill="1" applyBorder="1" applyAlignment="1" applyProtection="1">
      <alignment horizontal="center"/>
      <protection/>
    </xf>
    <xf numFmtId="164" fontId="0" fillId="2" borderId="0" xfId="0" applyFill="1" applyAlignment="1">
      <alignment/>
    </xf>
    <xf numFmtId="170" fontId="0" fillId="0" borderId="0" xfId="0" applyNumberFormat="1" applyAlignment="1">
      <alignment/>
    </xf>
    <xf numFmtId="168" fontId="3" fillId="0" borderId="0" xfId="0" applyNumberFormat="1" applyFont="1" applyFill="1" applyBorder="1" applyAlignment="1">
      <alignment/>
    </xf>
    <xf numFmtId="164" fontId="0" fillId="3" borderId="0" xfId="0" applyFont="1" applyFill="1" applyAlignment="1">
      <alignment/>
    </xf>
    <xf numFmtId="164" fontId="2" fillId="4" borderId="0" xfId="0" applyFont="1" applyFill="1" applyAlignment="1">
      <alignment/>
    </xf>
    <xf numFmtId="171" fontId="2" fillId="4" borderId="0" xfId="0" applyNumberFormat="1" applyFont="1" applyFill="1" applyAlignment="1">
      <alignment horizontal="center"/>
    </xf>
    <xf numFmtId="164" fontId="7" fillId="0" borderId="0" xfId="0" applyFont="1" applyAlignment="1">
      <alignment horizontal="right"/>
    </xf>
    <xf numFmtId="171" fontId="7" fillId="0" borderId="0" xfId="0" applyNumberFormat="1" applyFont="1" applyAlignment="1" applyProtection="1">
      <alignment horizontal="right"/>
      <protection/>
    </xf>
    <xf numFmtId="171" fontId="0" fillId="0" borderId="0" xfId="0" applyNumberFormat="1" applyAlignment="1">
      <alignment/>
    </xf>
    <xf numFmtId="164" fontId="8" fillId="0" borderId="0" xfId="0" applyFont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PASTURA UTILIZABLE ESTACIONAL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25925"/>
          <c:w val="0.903"/>
          <c:h val="0.5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Hoja1!$D$69:$G$69</c:f>
              <c:strCache/>
            </c:strRef>
          </c:cat>
          <c:val>
            <c:numRef>
              <c:f>Hoja1!$D$70:$G$70</c:f>
              <c:numCache/>
            </c:numRef>
          </c:val>
        </c:ser>
        <c:axId val="28907342"/>
        <c:axId val="58839487"/>
      </c:barChart>
      <c:dateAx>
        <c:axId val="28907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ESTACIÓN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39487"/>
        <c:crossesAt val="0"/>
        <c:auto val="0"/>
        <c:noMultiLvlLbl val="0"/>
      </c:dateAx>
      <c:valAx>
        <c:axId val="58839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 ms/hA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07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100</xdr:row>
      <xdr:rowOff>142875</xdr:rowOff>
    </xdr:from>
    <xdr:to>
      <xdr:col>7</xdr:col>
      <xdr:colOff>304800</xdr:colOff>
      <xdr:row>110</xdr:row>
      <xdr:rowOff>95250</xdr:rowOff>
    </xdr:to>
    <xdr:graphicFrame>
      <xdr:nvGraphicFramePr>
        <xdr:cNvPr id="1" name="Chart 1"/>
        <xdr:cNvGraphicFramePr/>
      </xdr:nvGraphicFramePr>
      <xdr:xfrm>
        <a:off x="2895600" y="19878675"/>
        <a:ext cx="47815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5546875" defaultRowHeight="15"/>
  <cols>
    <col min="1" max="2" width="16.10546875" style="0" customWidth="1"/>
    <col min="3" max="3" width="9.3359375" style="0" customWidth="1"/>
    <col min="4" max="4" width="10.77734375" style="0" customWidth="1"/>
    <col min="5" max="5" width="13.3359375" style="0" customWidth="1"/>
    <col min="6" max="6" width="10.77734375" style="0" customWidth="1"/>
    <col min="7" max="7" width="9.5546875" style="0" customWidth="1"/>
    <col min="8" max="9" width="9.21484375" style="0" customWidth="1"/>
    <col min="10" max="10" width="9.6640625" style="0" customWidth="1"/>
    <col min="11" max="11" width="9.21484375" style="0" customWidth="1"/>
    <col min="12" max="12" width="9.6640625" style="0" customWidth="1"/>
    <col min="13" max="13" width="10.10546875" style="0" customWidth="1"/>
    <col min="14" max="14" width="10.6640625" style="0" customWidth="1"/>
    <col min="15" max="15" width="6.77734375" style="0" customWidth="1"/>
    <col min="16" max="16" width="9.21484375" style="0" customWidth="1"/>
    <col min="17" max="65" width="6.77734375" style="0" customWidth="1"/>
  </cols>
  <sheetData>
    <row r="1" spans="1:65" ht="15.75">
      <c r="A1" s="1" t="s">
        <v>0</v>
      </c>
      <c r="B1" s="1" t="s">
        <v>1</v>
      </c>
      <c r="C1" s="2"/>
      <c r="D1" s="2"/>
      <c r="E1" s="2"/>
      <c r="F1" s="2" t="s">
        <v>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 t="s">
        <v>3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 t="s">
        <v>4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 t="s">
        <v>5</v>
      </c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:65" ht="16.5">
      <c r="A2" s="4"/>
      <c r="B2" s="4"/>
      <c r="C2" s="5" t="s">
        <v>6</v>
      </c>
      <c r="D2" s="5" t="s">
        <v>7</v>
      </c>
      <c r="E2" s="5" t="s">
        <v>6</v>
      </c>
      <c r="F2" s="5" t="s">
        <v>8</v>
      </c>
      <c r="G2" s="5" t="s">
        <v>8</v>
      </c>
      <c r="H2" s="5" t="s">
        <v>7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6</v>
      </c>
      <c r="Q2" s="5" t="s">
        <v>7</v>
      </c>
      <c r="R2" s="5" t="s">
        <v>6</v>
      </c>
      <c r="S2" s="5" t="s">
        <v>8</v>
      </c>
      <c r="T2" s="5" t="s">
        <v>8</v>
      </c>
      <c r="U2" s="5" t="s">
        <v>7</v>
      </c>
      <c r="V2" s="5" t="s">
        <v>9</v>
      </c>
      <c r="W2" s="5" t="s">
        <v>10</v>
      </c>
      <c r="X2" s="5" t="s">
        <v>11</v>
      </c>
      <c r="Y2" s="5" t="s">
        <v>12</v>
      </c>
      <c r="Z2" s="5" t="s">
        <v>13</v>
      </c>
      <c r="AA2" s="6" t="s">
        <v>14</v>
      </c>
      <c r="AB2" s="7" t="s">
        <v>6</v>
      </c>
      <c r="AC2" s="7" t="s">
        <v>7</v>
      </c>
      <c r="AD2" s="7" t="s">
        <v>6</v>
      </c>
      <c r="AE2" s="7" t="s">
        <v>8</v>
      </c>
      <c r="AF2" s="7" t="s">
        <v>8</v>
      </c>
      <c r="AG2" s="7" t="s">
        <v>7</v>
      </c>
      <c r="AH2" s="7" t="s">
        <v>9</v>
      </c>
      <c r="AI2" s="7" t="s">
        <v>10</v>
      </c>
      <c r="AJ2" s="7" t="s">
        <v>11</v>
      </c>
      <c r="AK2" s="7" t="s">
        <v>12</v>
      </c>
      <c r="AL2" s="7" t="s">
        <v>13</v>
      </c>
      <c r="AM2" s="7" t="s">
        <v>14</v>
      </c>
      <c r="AN2" s="1" t="s">
        <v>16</v>
      </c>
      <c r="AO2" s="7" t="s">
        <v>6</v>
      </c>
      <c r="AP2" s="7" t="s">
        <v>7</v>
      </c>
      <c r="AQ2" s="7" t="s">
        <v>6</v>
      </c>
      <c r="AR2" s="7" t="s">
        <v>8</v>
      </c>
      <c r="AS2" s="7" t="s">
        <v>8</v>
      </c>
      <c r="AT2" s="7" t="s">
        <v>7</v>
      </c>
      <c r="AU2" s="7" t="s">
        <v>9</v>
      </c>
      <c r="AV2" s="7" t="s">
        <v>10</v>
      </c>
      <c r="AW2" s="7" t="s">
        <v>11</v>
      </c>
      <c r="AX2" s="7" t="s">
        <v>12</v>
      </c>
      <c r="AY2" s="7" t="s">
        <v>13</v>
      </c>
      <c r="AZ2" s="7" t="s">
        <v>14</v>
      </c>
      <c r="BA2" s="3"/>
      <c r="BB2" s="8">
        <f>+C2</f>
        <v>0</v>
      </c>
      <c r="BC2" s="8">
        <f>+D2</f>
        <v>0</v>
      </c>
      <c r="BD2" s="8">
        <f>+E2</f>
        <v>0</v>
      </c>
      <c r="BE2" s="8">
        <f>+F2</f>
        <v>0</v>
      </c>
      <c r="BF2" s="8">
        <f>+G2</f>
        <v>0</v>
      </c>
      <c r="BG2" s="8">
        <f>+H2</f>
        <v>0</v>
      </c>
      <c r="BH2" s="8">
        <f>+I2</f>
        <v>0</v>
      </c>
      <c r="BI2" s="8">
        <f>+J2</f>
        <v>0</v>
      </c>
      <c r="BJ2" s="8">
        <f>+K2</f>
        <v>0</v>
      </c>
      <c r="BK2" s="8">
        <f>+L2</f>
        <v>0</v>
      </c>
      <c r="BL2" s="8">
        <f>+M2</f>
        <v>0</v>
      </c>
      <c r="BM2" s="8">
        <f>+N2</f>
        <v>0</v>
      </c>
    </row>
    <row r="3" spans="1:65" ht="16.5">
      <c r="A3" s="3" t="s">
        <v>17</v>
      </c>
      <c r="B3" s="9"/>
      <c r="C3" s="10">
        <f>+$B$3*BB3</f>
        <v>0</v>
      </c>
      <c r="D3" s="10">
        <f>+$B$3*BC3</f>
        <v>0</v>
      </c>
      <c r="E3" s="10">
        <f>+$B$3*BD3</f>
        <v>0</v>
      </c>
      <c r="F3" s="10">
        <f>+$B$3*BE3</f>
        <v>0</v>
      </c>
      <c r="G3" s="10">
        <f>+$B$3*BF3</f>
        <v>0</v>
      </c>
      <c r="H3" s="10">
        <f>+$B$3*BG3</f>
        <v>0</v>
      </c>
      <c r="I3" s="10">
        <f>+$B$3*BH3</f>
        <v>0</v>
      </c>
      <c r="J3" s="10">
        <f>+$B$3*BI3</f>
        <v>0</v>
      </c>
      <c r="K3" s="10">
        <f>+$B$3*BJ3</f>
        <v>0</v>
      </c>
      <c r="L3" s="10">
        <f>+$B$3*BK3</f>
        <v>0</v>
      </c>
      <c r="M3" s="10">
        <f>+$B$3*BL3</f>
        <v>0</v>
      </c>
      <c r="N3" s="10">
        <f>+$B$3*BM3</f>
        <v>0</v>
      </c>
      <c r="O3" s="11"/>
      <c r="P3" s="12">
        <f>+$O$3*C3</f>
        <v>0</v>
      </c>
      <c r="Q3" s="12">
        <f>+$O$3*D3</f>
        <v>0</v>
      </c>
      <c r="R3" s="12">
        <f>+$O$3*E3</f>
        <v>0</v>
      </c>
      <c r="S3" s="12">
        <f>+$O$3*F3</f>
        <v>0</v>
      </c>
      <c r="T3" s="12">
        <f>+$O$3*G3</f>
        <v>0</v>
      </c>
      <c r="U3" s="12">
        <f>+$O$3*H3</f>
        <v>0</v>
      </c>
      <c r="V3" s="12">
        <f>+$O$3*I3</f>
        <v>0</v>
      </c>
      <c r="W3" s="12">
        <f>+$O$3*J3</f>
        <v>0</v>
      </c>
      <c r="X3" s="12">
        <f>+$O$3*K3</f>
        <v>0</v>
      </c>
      <c r="Y3" s="12">
        <f>+$O$3*L3</f>
        <v>0</v>
      </c>
      <c r="Z3" s="12">
        <f>+$O$3*M3</f>
        <v>0</v>
      </c>
      <c r="AA3" s="12">
        <f>+$O$3*N3</f>
        <v>0</v>
      </c>
      <c r="AB3" s="13"/>
      <c r="AC3" s="13"/>
      <c r="AD3" s="13"/>
      <c r="AE3" s="13"/>
      <c r="AF3" s="13"/>
      <c r="AG3" s="13"/>
      <c r="AH3" s="13"/>
      <c r="AI3" s="13"/>
      <c r="AJ3" s="13"/>
      <c r="AK3" s="13">
        <v>273</v>
      </c>
      <c r="AL3" s="13">
        <f>+AL4</f>
        <v>278.07</v>
      </c>
      <c r="AM3" s="13">
        <f>+AM4</f>
        <v>215.28</v>
      </c>
      <c r="AN3" s="14">
        <f aca="true" t="shared" si="0" ref="AN3:AN54">SUM(AB3:AM3)</f>
        <v>766.35</v>
      </c>
      <c r="AO3" s="3"/>
      <c r="AP3" s="3"/>
      <c r="AQ3" s="3"/>
      <c r="AR3" s="3"/>
      <c r="AS3" s="3"/>
      <c r="AT3" s="3"/>
      <c r="AU3" s="3"/>
      <c r="AV3" s="3"/>
      <c r="AW3" s="3"/>
      <c r="AX3" s="3"/>
      <c r="AY3" s="3">
        <v>60</v>
      </c>
      <c r="AZ3" s="3">
        <v>60</v>
      </c>
      <c r="BA3" s="3"/>
      <c r="BB3" s="13">
        <f aca="true" t="shared" si="1" ref="BB3:BB66">+AB3*AO3/100</f>
        <v>0</v>
      </c>
      <c r="BC3" s="13">
        <f aca="true" t="shared" si="2" ref="BC3:BC66">+AC3*AP3/100</f>
        <v>0</v>
      </c>
      <c r="BD3" s="13">
        <f aca="true" t="shared" si="3" ref="BD3:BD66">+AD3*AQ3/100</f>
        <v>0</v>
      </c>
      <c r="BE3" s="13">
        <f aca="true" t="shared" si="4" ref="BE3:BE66">+AE3*AR3/100</f>
        <v>0</v>
      </c>
      <c r="BF3" s="13">
        <f aca="true" t="shared" si="5" ref="BF3:BF66">+AF3*AS3/100</f>
        <v>0</v>
      </c>
      <c r="BG3" s="13">
        <f aca="true" t="shared" si="6" ref="BG3:BG66">+AG3*AT3/100</f>
        <v>0</v>
      </c>
      <c r="BH3" s="13">
        <f aca="true" t="shared" si="7" ref="BH3:BH66">+AH3*AU3/100</f>
        <v>0</v>
      </c>
      <c r="BI3" s="13">
        <f aca="true" t="shared" si="8" ref="BI3:BI66">+AI3*AV3/100</f>
        <v>0</v>
      </c>
      <c r="BJ3" s="13">
        <f aca="true" t="shared" si="9" ref="BJ3:BJ66">+AJ3*AW3/100</f>
        <v>0</v>
      </c>
      <c r="BK3" s="13">
        <v>240</v>
      </c>
      <c r="BL3" s="13">
        <f aca="true" t="shared" si="10" ref="BL3:BL21">+AL3*AY3/100</f>
        <v>166.842</v>
      </c>
      <c r="BM3" s="13">
        <f aca="true" t="shared" si="11" ref="BM3:BM21">+AM3*AZ3/100</f>
        <v>129.168</v>
      </c>
    </row>
    <row r="4" spans="1:65" ht="15.75">
      <c r="A4" s="3" t="s">
        <v>18</v>
      </c>
      <c r="B4" s="3"/>
      <c r="C4" s="10">
        <f>+$B$4*BB4</f>
        <v>0</v>
      </c>
      <c r="D4" s="10">
        <f>+$B$4*BC4</f>
        <v>0</v>
      </c>
      <c r="E4" s="10">
        <f>+$B$4*BD4</f>
        <v>0</v>
      </c>
      <c r="F4" s="10">
        <f>+$B$4*BE4</f>
        <v>0</v>
      </c>
      <c r="G4" s="10">
        <f>+$B$4*BF4</f>
        <v>0</v>
      </c>
      <c r="H4" s="10">
        <f>+$B$4*BG4</f>
        <v>0</v>
      </c>
      <c r="I4" s="10">
        <f>+$B$4*BH4</f>
        <v>0</v>
      </c>
      <c r="J4" s="10">
        <f>+$B$4*BI4</f>
        <v>0</v>
      </c>
      <c r="K4" s="10">
        <f>+$B$4*BJ4</f>
        <v>0</v>
      </c>
      <c r="L4" s="10">
        <f>+$B$4*BK4</f>
        <v>0</v>
      </c>
      <c r="M4" s="10">
        <f>+$B$4*BL4</f>
        <v>0</v>
      </c>
      <c r="N4" s="10">
        <f>+$B$4*BM4</f>
        <v>0</v>
      </c>
      <c r="O4" s="11"/>
      <c r="P4" s="12">
        <f>+$O$4*C4</f>
        <v>0</v>
      </c>
      <c r="Q4" s="12">
        <f>+$O$4*D4</f>
        <v>0</v>
      </c>
      <c r="R4" s="12">
        <f>+$O$4*E4</f>
        <v>0</v>
      </c>
      <c r="S4" s="12">
        <f>+$O$4*F4</f>
        <v>0</v>
      </c>
      <c r="T4" s="12">
        <f>+$O$4*G4</f>
        <v>0</v>
      </c>
      <c r="U4" s="12">
        <f>+$O$4*H4</f>
        <v>0</v>
      </c>
      <c r="V4" s="12">
        <f>+$O$4*I4</f>
        <v>0</v>
      </c>
      <c r="W4" s="12">
        <f>+$O$4*J4</f>
        <v>0</v>
      </c>
      <c r="X4" s="12">
        <f>+$O$4*K4</f>
        <v>0</v>
      </c>
      <c r="Y4" s="12">
        <f>+$O$4*L4</f>
        <v>0</v>
      </c>
      <c r="Z4" s="12">
        <f>+$O$4*M4</f>
        <v>0</v>
      </c>
      <c r="AA4" s="12">
        <f>+$O$4*N4</f>
        <v>0</v>
      </c>
      <c r="AB4" s="13"/>
      <c r="AC4" s="13">
        <f>6900*0.17*0.5</f>
        <v>586.5</v>
      </c>
      <c r="AD4" s="13">
        <f>6900*0.17*0.5</f>
        <v>586.5</v>
      </c>
      <c r="AE4" s="13">
        <f>6900*0.22*0.29</f>
        <v>440.21999999999997</v>
      </c>
      <c r="AF4" s="13">
        <f>6900*0.22*0.29</f>
        <v>440.21999999999997</v>
      </c>
      <c r="AG4" s="13">
        <f>6900*0.22*0.42</f>
        <v>637.56</v>
      </c>
      <c r="AH4" s="13">
        <f>6900*0.48*0.38</f>
        <v>1258.56</v>
      </c>
      <c r="AI4" s="13">
        <f>6900*0.48*0.38</f>
        <v>1258.56</v>
      </c>
      <c r="AJ4" s="13">
        <f>6900*0.48*0.24</f>
        <v>794.88</v>
      </c>
      <c r="AK4" s="13">
        <f>6900*0.13*0.45</f>
        <v>403.65000000000003</v>
      </c>
      <c r="AL4" s="13">
        <f>6900*0.13*0.31</f>
        <v>278.07</v>
      </c>
      <c r="AM4" s="13">
        <f>6900*0.13*0.24</f>
        <v>215.28</v>
      </c>
      <c r="AN4" s="14">
        <f t="shared" si="0"/>
        <v>6899.999999999999</v>
      </c>
      <c r="AO4" s="3">
        <v>70</v>
      </c>
      <c r="AP4" s="3">
        <v>70</v>
      </c>
      <c r="AQ4" s="3">
        <v>70</v>
      </c>
      <c r="AR4" s="3">
        <v>70</v>
      </c>
      <c r="AS4" s="3">
        <v>70</v>
      </c>
      <c r="AT4" s="3">
        <v>70</v>
      </c>
      <c r="AU4" s="3">
        <v>65</v>
      </c>
      <c r="AV4" s="3">
        <v>65</v>
      </c>
      <c r="AW4" s="3">
        <v>65</v>
      </c>
      <c r="AX4" s="3">
        <v>60</v>
      </c>
      <c r="AY4" s="3">
        <v>60</v>
      </c>
      <c r="AZ4" s="3">
        <v>60</v>
      </c>
      <c r="BA4" s="3"/>
      <c r="BB4" s="13">
        <f t="shared" si="1"/>
        <v>0</v>
      </c>
      <c r="BC4" s="13">
        <f t="shared" si="2"/>
        <v>410.55</v>
      </c>
      <c r="BD4" s="13">
        <f t="shared" si="3"/>
        <v>410.55</v>
      </c>
      <c r="BE4" s="13">
        <f t="shared" si="4"/>
        <v>308.154</v>
      </c>
      <c r="BF4" s="13">
        <f t="shared" si="5"/>
        <v>308.154</v>
      </c>
      <c r="BG4" s="13">
        <f t="shared" si="6"/>
        <v>446.292</v>
      </c>
      <c r="BH4" s="13">
        <f t="shared" si="7"/>
        <v>818.064</v>
      </c>
      <c r="BI4" s="13">
        <f t="shared" si="8"/>
        <v>818.064</v>
      </c>
      <c r="BJ4" s="13">
        <f t="shared" si="9"/>
        <v>516.672</v>
      </c>
      <c r="BK4" s="13">
        <f aca="true" t="shared" si="12" ref="BK4:BK66">+AK4*AX4/100</f>
        <v>242.19000000000003</v>
      </c>
      <c r="BL4" s="13">
        <f t="shared" si="10"/>
        <v>166.842</v>
      </c>
      <c r="BM4" s="13">
        <f t="shared" si="11"/>
        <v>129.168</v>
      </c>
    </row>
    <row r="5" spans="1:65" ht="15.75">
      <c r="A5" s="3" t="s">
        <v>19</v>
      </c>
      <c r="B5" s="3"/>
      <c r="C5" s="10">
        <f>+$B$5*BB5</f>
        <v>0</v>
      </c>
      <c r="D5" s="10">
        <f>+$B$5*BC5</f>
        <v>0</v>
      </c>
      <c r="E5" s="10">
        <f>+$B$5*BD5</f>
        <v>0</v>
      </c>
      <c r="F5" s="10">
        <f>+$B$5*BE5</f>
        <v>0</v>
      </c>
      <c r="G5" s="10">
        <f>+$B$5*BF5</f>
        <v>0</v>
      </c>
      <c r="H5" s="10">
        <f>+$B$5*BG5</f>
        <v>0</v>
      </c>
      <c r="I5" s="10">
        <f>+$B$5*BH5</f>
        <v>0</v>
      </c>
      <c r="J5" s="10">
        <f>+$B$5*BI5</f>
        <v>0</v>
      </c>
      <c r="K5" s="10">
        <f>+$B$5*BJ5</f>
        <v>0</v>
      </c>
      <c r="L5" s="10">
        <f>+$B$5*BK5</f>
        <v>0</v>
      </c>
      <c r="M5" s="10">
        <f>+$B$5*BL5</f>
        <v>0</v>
      </c>
      <c r="N5" s="10">
        <f>+$B$5*BM5</f>
        <v>0</v>
      </c>
      <c r="O5" s="11"/>
      <c r="P5" s="12">
        <f>+$O$5*C5</f>
        <v>0</v>
      </c>
      <c r="Q5" s="12">
        <f>+$O$5*D5</f>
        <v>0</v>
      </c>
      <c r="R5" s="12">
        <f>+$O$5*E5</f>
        <v>0</v>
      </c>
      <c r="S5" s="12">
        <f>+$O$5*F5</f>
        <v>0</v>
      </c>
      <c r="T5" s="12">
        <f>+$O$5*G5</f>
        <v>0</v>
      </c>
      <c r="U5" s="12">
        <f>+$O$5*H5</f>
        <v>0</v>
      </c>
      <c r="V5" s="12">
        <f>+$O$5*I5</f>
        <v>0</v>
      </c>
      <c r="W5" s="12">
        <f>+$O$5*J5</f>
        <v>0</v>
      </c>
      <c r="X5" s="12">
        <f>+$O$5*K5</f>
        <v>0</v>
      </c>
      <c r="Y5" s="12">
        <f>+$O$5*L5</f>
        <v>0</v>
      </c>
      <c r="Z5" s="12">
        <f>+$O$5*M5</f>
        <v>0</v>
      </c>
      <c r="AA5" s="12">
        <f>+$O$5*N5</f>
        <v>0</v>
      </c>
      <c r="AB5" s="13"/>
      <c r="AC5" s="13"/>
      <c r="AD5" s="13"/>
      <c r="AE5" s="13">
        <v>144</v>
      </c>
      <c r="AF5" s="13">
        <v>126</v>
      </c>
      <c r="AG5" s="13">
        <v>180</v>
      </c>
      <c r="AH5" s="13">
        <v>1071</v>
      </c>
      <c r="AI5" s="13">
        <v>1134</v>
      </c>
      <c r="AJ5" s="13">
        <v>945</v>
      </c>
      <c r="AK5" s="13">
        <v>405</v>
      </c>
      <c r="AL5" s="13">
        <v>279</v>
      </c>
      <c r="AM5" s="13">
        <v>216</v>
      </c>
      <c r="AN5" s="14">
        <f t="shared" si="0"/>
        <v>4500</v>
      </c>
      <c r="AO5" s="3">
        <v>70</v>
      </c>
      <c r="AP5" s="3">
        <v>70</v>
      </c>
      <c r="AQ5" s="3">
        <v>70</v>
      </c>
      <c r="AR5" s="3">
        <v>70</v>
      </c>
      <c r="AS5" s="3">
        <v>70</v>
      </c>
      <c r="AT5" s="3">
        <v>70</v>
      </c>
      <c r="AU5" s="3">
        <v>65</v>
      </c>
      <c r="AV5" s="3">
        <v>65</v>
      </c>
      <c r="AW5" s="3">
        <v>65</v>
      </c>
      <c r="AX5" s="3">
        <v>60</v>
      </c>
      <c r="AY5" s="3">
        <v>60</v>
      </c>
      <c r="AZ5" s="3">
        <v>60</v>
      </c>
      <c r="BA5" s="3"/>
      <c r="BB5" s="13">
        <f t="shared" si="1"/>
        <v>0</v>
      </c>
      <c r="BC5" s="13">
        <f t="shared" si="2"/>
        <v>0</v>
      </c>
      <c r="BD5" s="13">
        <f t="shared" si="3"/>
        <v>0</v>
      </c>
      <c r="BE5" s="13">
        <f t="shared" si="4"/>
        <v>100.8</v>
      </c>
      <c r="BF5" s="13">
        <f t="shared" si="5"/>
        <v>88.2</v>
      </c>
      <c r="BG5" s="13">
        <f t="shared" si="6"/>
        <v>126</v>
      </c>
      <c r="BH5" s="13">
        <f t="shared" si="7"/>
        <v>696.15</v>
      </c>
      <c r="BI5" s="13">
        <f t="shared" si="8"/>
        <v>737.1</v>
      </c>
      <c r="BJ5" s="13">
        <f t="shared" si="9"/>
        <v>614.25</v>
      </c>
      <c r="BK5" s="13">
        <f t="shared" si="12"/>
        <v>243</v>
      </c>
      <c r="BL5" s="13">
        <f t="shared" si="10"/>
        <v>167.4</v>
      </c>
      <c r="BM5" s="13">
        <f t="shared" si="11"/>
        <v>129.6</v>
      </c>
    </row>
    <row r="6" spans="1:65" ht="15.75">
      <c r="A6" s="3" t="s">
        <v>20</v>
      </c>
      <c r="B6" s="3"/>
      <c r="C6" s="10">
        <f aca="true" t="shared" si="13" ref="C6:C65">+$B6*BB6</f>
        <v>0</v>
      </c>
      <c r="D6" s="10">
        <f>+$B$6*BC6</f>
        <v>0</v>
      </c>
      <c r="E6" s="10">
        <f>+$B$6*BD6</f>
        <v>0</v>
      </c>
      <c r="F6" s="10">
        <f>+$B$6*BE6</f>
        <v>0</v>
      </c>
      <c r="G6" s="10">
        <f>+$B$6*BF6</f>
        <v>0</v>
      </c>
      <c r="H6" s="10">
        <f>+$B$6*BG6</f>
        <v>0</v>
      </c>
      <c r="I6" s="10">
        <f>+$B$6*BH6</f>
        <v>0</v>
      </c>
      <c r="J6" s="10">
        <f>+$B$6*BI6</f>
        <v>0</v>
      </c>
      <c r="K6" s="10">
        <f>+$B$6*BJ6</f>
        <v>0</v>
      </c>
      <c r="L6" s="10">
        <f>+$B$6*BK6</f>
        <v>0</v>
      </c>
      <c r="M6" s="10">
        <f>+$B$6*BL6</f>
        <v>0</v>
      </c>
      <c r="N6" s="10">
        <f>+$B$6*BM6</f>
        <v>0</v>
      </c>
      <c r="O6" s="11"/>
      <c r="P6" s="12">
        <f>+$O$6*C6</f>
        <v>0</v>
      </c>
      <c r="Q6" s="12">
        <f>+$O$6*D6</f>
        <v>0</v>
      </c>
      <c r="R6" s="12">
        <f>+$O$6*E6</f>
        <v>0</v>
      </c>
      <c r="S6" s="12">
        <f>+$O$6*F6</f>
        <v>0</v>
      </c>
      <c r="T6" s="12">
        <f>+$O$6*G6</f>
        <v>0</v>
      </c>
      <c r="U6" s="12">
        <f>+$O$6*H6</f>
        <v>0</v>
      </c>
      <c r="V6" s="12">
        <f>+$O$6*I6</f>
        <v>0</v>
      </c>
      <c r="W6" s="12">
        <f>+$O$6*J6</f>
        <v>0</v>
      </c>
      <c r="X6" s="12">
        <f>+$O$6*K6</f>
        <v>0</v>
      </c>
      <c r="Y6" s="12">
        <f>+$O$6*L6</f>
        <v>0</v>
      </c>
      <c r="Z6" s="12">
        <f>+$O$6*M6</f>
        <v>0</v>
      </c>
      <c r="AA6" s="12">
        <f>+$O$6*N6</f>
        <v>0</v>
      </c>
      <c r="AB6" s="13">
        <f>10000*0.22*0.29</f>
        <v>638</v>
      </c>
      <c r="AC6" s="13">
        <f>10000*0.22*0.34</f>
        <v>748</v>
      </c>
      <c r="AD6" s="13">
        <f>10000*0.22*0.37</f>
        <v>814</v>
      </c>
      <c r="AE6" s="13">
        <f>10000*0.2*0.32</f>
        <v>640</v>
      </c>
      <c r="AF6" s="13">
        <f>10000*0.2*0.28</f>
        <v>560</v>
      </c>
      <c r="AG6" s="13">
        <f>10000*0.2*0.4</f>
        <v>800</v>
      </c>
      <c r="AH6" s="13">
        <f>10000*0.43*0.34</f>
        <v>1462</v>
      </c>
      <c r="AI6" s="13">
        <f>10000*0.43*0.36</f>
        <v>1548</v>
      </c>
      <c r="AJ6" s="13">
        <f>10000*0.43*0.3</f>
        <v>1290</v>
      </c>
      <c r="AK6" s="13">
        <f>10000*0.15*0.45</f>
        <v>675</v>
      </c>
      <c r="AL6" s="13">
        <f>10000*0.15*0.31</f>
        <v>465</v>
      </c>
      <c r="AM6" s="13">
        <f>10000*0.15*0.24</f>
        <v>360</v>
      </c>
      <c r="AN6" s="14">
        <f t="shared" si="0"/>
        <v>10000</v>
      </c>
      <c r="AO6" s="3">
        <v>70</v>
      </c>
      <c r="AP6" s="3">
        <v>70</v>
      </c>
      <c r="AQ6" s="3">
        <v>70</v>
      </c>
      <c r="AR6" s="3">
        <v>70</v>
      </c>
      <c r="AS6" s="3">
        <v>70</v>
      </c>
      <c r="AT6" s="3">
        <v>70</v>
      </c>
      <c r="AU6" s="3">
        <v>65</v>
      </c>
      <c r="AV6" s="3">
        <v>65</v>
      </c>
      <c r="AW6" s="3">
        <v>65</v>
      </c>
      <c r="AX6" s="3">
        <v>60</v>
      </c>
      <c r="AY6" s="3">
        <v>60</v>
      </c>
      <c r="AZ6" s="3">
        <v>60</v>
      </c>
      <c r="BA6" s="3"/>
      <c r="BB6" s="13">
        <f t="shared" si="1"/>
        <v>446.6</v>
      </c>
      <c r="BC6" s="13">
        <f t="shared" si="2"/>
        <v>523.6</v>
      </c>
      <c r="BD6" s="13">
        <f t="shared" si="3"/>
        <v>569.8</v>
      </c>
      <c r="BE6" s="13">
        <f t="shared" si="4"/>
        <v>448</v>
      </c>
      <c r="BF6" s="13">
        <f t="shared" si="5"/>
        <v>392</v>
      </c>
      <c r="BG6" s="13">
        <f t="shared" si="6"/>
        <v>560</v>
      </c>
      <c r="BH6" s="13">
        <f t="shared" si="7"/>
        <v>950.3</v>
      </c>
      <c r="BI6" s="13">
        <f t="shared" si="8"/>
        <v>1006.2</v>
      </c>
      <c r="BJ6" s="13">
        <f t="shared" si="9"/>
        <v>838.5</v>
      </c>
      <c r="BK6" s="13">
        <f t="shared" si="12"/>
        <v>405</v>
      </c>
      <c r="BL6" s="13">
        <f t="shared" si="10"/>
        <v>279</v>
      </c>
      <c r="BM6" s="13">
        <f t="shared" si="11"/>
        <v>216</v>
      </c>
    </row>
    <row r="7" spans="1:65" ht="15.75">
      <c r="A7" s="3" t="s">
        <v>21</v>
      </c>
      <c r="B7" s="3"/>
      <c r="C7" s="10">
        <f t="shared" si="13"/>
        <v>0</v>
      </c>
      <c r="D7" s="10">
        <f aca="true" t="shared" si="14" ref="D7:D65">+$B7*BC7</f>
        <v>0</v>
      </c>
      <c r="E7" s="10">
        <f aca="true" t="shared" si="15" ref="E7:E65">+$B7*BD7</f>
        <v>0</v>
      </c>
      <c r="F7" s="10">
        <f aca="true" t="shared" si="16" ref="F7:F65">+$B7*BE7</f>
        <v>0</v>
      </c>
      <c r="G7" s="10">
        <f aca="true" t="shared" si="17" ref="G7:G62">+$B7*BF7</f>
        <v>0</v>
      </c>
      <c r="H7" s="10">
        <f aca="true" t="shared" si="18" ref="H7:H62">+$B7*BG7</f>
        <v>0</v>
      </c>
      <c r="I7" s="10">
        <f aca="true" t="shared" si="19" ref="I7:I65">+$B7*BH7</f>
        <v>0</v>
      </c>
      <c r="J7" s="10">
        <f aca="true" t="shared" si="20" ref="J7:J17">+$B7*BI7</f>
        <v>0</v>
      </c>
      <c r="K7" s="10">
        <f aca="true" t="shared" si="21" ref="K7:K65">+$B7*BJ7</f>
        <v>0</v>
      </c>
      <c r="L7" s="10">
        <f aca="true" t="shared" si="22" ref="L7:L65">+$B7*BK7</f>
        <v>0</v>
      </c>
      <c r="M7" s="10">
        <f aca="true" t="shared" si="23" ref="M7:M65">+$B7*BL7</f>
        <v>0</v>
      </c>
      <c r="N7" s="10">
        <f aca="true" t="shared" si="24" ref="N7:N65">+$B7*BM7</f>
        <v>0</v>
      </c>
      <c r="O7" s="11"/>
      <c r="P7" s="12">
        <f>+$O$7*C7</f>
        <v>0</v>
      </c>
      <c r="Q7" s="12">
        <f>+$O$7*D7</f>
        <v>0</v>
      </c>
      <c r="R7" s="12">
        <f>+$O$7*E7</f>
        <v>0</v>
      </c>
      <c r="S7" s="12">
        <f>+$O$7*F7</f>
        <v>0</v>
      </c>
      <c r="T7" s="12">
        <f>+$O$7*G7</f>
        <v>0</v>
      </c>
      <c r="U7" s="12">
        <f>+$O$7*H7</f>
        <v>0</v>
      </c>
      <c r="V7" s="12">
        <f>+$O$7*I7</f>
        <v>0</v>
      </c>
      <c r="W7" s="12">
        <f>+$O$7*J7</f>
        <v>0</v>
      </c>
      <c r="X7" s="12">
        <f>+$O$7*K7</f>
        <v>0</v>
      </c>
      <c r="Y7" s="12">
        <f>+$O$7*L7</f>
        <v>0</v>
      </c>
      <c r="Z7" s="12">
        <f>+$O$7*M7</f>
        <v>0</v>
      </c>
      <c r="AA7" s="12">
        <f>+$O$7*N7</f>
        <v>0</v>
      </c>
      <c r="AB7" s="13">
        <f>7000*0.2*0.29</f>
        <v>406</v>
      </c>
      <c r="AC7" s="13">
        <f>7000*0.2*0.34</f>
        <v>476.00000000000006</v>
      </c>
      <c r="AD7" s="13">
        <f>7000*0.2*0.37</f>
        <v>518</v>
      </c>
      <c r="AE7" s="13">
        <f>7000*0.16*0.32</f>
        <v>358.40000000000003</v>
      </c>
      <c r="AF7" s="13">
        <f>7000*0.16*0.28</f>
        <v>313.6</v>
      </c>
      <c r="AG7" s="13">
        <f>7000*0.16*0.4</f>
        <v>448</v>
      </c>
      <c r="AH7" s="13">
        <f>7000*0.5*0.34</f>
        <v>1190</v>
      </c>
      <c r="AI7" s="13">
        <f>7000*0.5*0.36</f>
        <v>1260</v>
      </c>
      <c r="AJ7" s="13">
        <f>7000*0.5*0.3</f>
        <v>1050</v>
      </c>
      <c r="AK7" s="13">
        <f>7000*0.14*0.45</f>
        <v>441.00000000000006</v>
      </c>
      <c r="AL7" s="13">
        <f>7000*0.14*0.31</f>
        <v>303.8</v>
      </c>
      <c r="AM7" s="13">
        <f>7000*0.14*0.24</f>
        <v>235.20000000000002</v>
      </c>
      <c r="AN7" s="14">
        <f t="shared" si="0"/>
        <v>7000</v>
      </c>
      <c r="AO7" s="3">
        <v>70</v>
      </c>
      <c r="AP7" s="3">
        <v>70</v>
      </c>
      <c r="AQ7" s="3">
        <v>70</v>
      </c>
      <c r="AR7" s="3">
        <v>70</v>
      </c>
      <c r="AS7" s="3">
        <v>70</v>
      </c>
      <c r="AT7" s="3">
        <v>70</v>
      </c>
      <c r="AU7" s="3">
        <v>65</v>
      </c>
      <c r="AV7" s="3">
        <v>65</v>
      </c>
      <c r="AW7" s="3">
        <v>65</v>
      </c>
      <c r="AX7" s="3">
        <v>60</v>
      </c>
      <c r="AY7" s="3">
        <v>60</v>
      </c>
      <c r="AZ7" s="3">
        <v>60</v>
      </c>
      <c r="BA7" s="3"/>
      <c r="BB7" s="13">
        <f t="shared" si="1"/>
        <v>284.2</v>
      </c>
      <c r="BC7" s="13">
        <f t="shared" si="2"/>
        <v>333.20000000000005</v>
      </c>
      <c r="BD7" s="13">
        <f t="shared" si="3"/>
        <v>362.6</v>
      </c>
      <c r="BE7" s="13">
        <f t="shared" si="4"/>
        <v>250.88000000000002</v>
      </c>
      <c r="BF7" s="13">
        <f t="shared" si="5"/>
        <v>219.52</v>
      </c>
      <c r="BG7" s="13">
        <f t="shared" si="6"/>
        <v>313.6</v>
      </c>
      <c r="BH7" s="13">
        <f t="shared" si="7"/>
        <v>773.5</v>
      </c>
      <c r="BI7" s="13">
        <f t="shared" si="8"/>
        <v>819</v>
      </c>
      <c r="BJ7" s="13">
        <f t="shared" si="9"/>
        <v>682.5</v>
      </c>
      <c r="BK7" s="13">
        <f t="shared" si="12"/>
        <v>264.6</v>
      </c>
      <c r="BL7" s="13">
        <f t="shared" si="10"/>
        <v>182.28</v>
      </c>
      <c r="BM7" s="13">
        <f t="shared" si="11"/>
        <v>141.12</v>
      </c>
    </row>
    <row r="8" spans="1:65" ht="15.75">
      <c r="A8" s="3" t="s">
        <v>22</v>
      </c>
      <c r="B8" s="3"/>
      <c r="C8" s="10">
        <f t="shared" si="13"/>
        <v>0</v>
      </c>
      <c r="D8" s="10">
        <f t="shared" si="14"/>
        <v>0</v>
      </c>
      <c r="E8" s="10">
        <f t="shared" si="15"/>
        <v>0</v>
      </c>
      <c r="F8" s="10">
        <f t="shared" si="16"/>
        <v>0</v>
      </c>
      <c r="G8" s="10">
        <f t="shared" si="17"/>
        <v>0</v>
      </c>
      <c r="H8" s="10">
        <f t="shared" si="18"/>
        <v>0</v>
      </c>
      <c r="I8" s="10">
        <f t="shared" si="19"/>
        <v>0</v>
      </c>
      <c r="J8" s="10">
        <f t="shared" si="20"/>
        <v>0</v>
      </c>
      <c r="K8" s="10">
        <f t="shared" si="21"/>
        <v>0</v>
      </c>
      <c r="L8" s="10">
        <f t="shared" si="22"/>
        <v>0</v>
      </c>
      <c r="M8" s="10">
        <f t="shared" si="23"/>
        <v>0</v>
      </c>
      <c r="N8" s="10">
        <f t="shared" si="24"/>
        <v>0</v>
      </c>
      <c r="O8" s="11"/>
      <c r="P8" s="12">
        <f>+$O$8*C8</f>
        <v>0</v>
      </c>
      <c r="Q8" s="12">
        <f>+$O$8*D8</f>
        <v>0</v>
      </c>
      <c r="R8" s="12">
        <f>+$O$8*E8</f>
        <v>0</v>
      </c>
      <c r="S8" s="12">
        <f>+$O$8*F8</f>
        <v>0</v>
      </c>
      <c r="T8" s="12">
        <f>+$O$8*G8</f>
        <v>0</v>
      </c>
      <c r="U8" s="12">
        <f>+$O$8*H8</f>
        <v>0</v>
      </c>
      <c r="V8" s="12">
        <f>+$O$8*I8</f>
        <v>0</v>
      </c>
      <c r="W8" s="12">
        <f>+$O$8*J8</f>
        <v>0</v>
      </c>
      <c r="X8" s="12">
        <f>+$O$8*K8</f>
        <v>0</v>
      </c>
      <c r="Y8" s="12">
        <f>+$O$8*L8</f>
        <v>0</v>
      </c>
      <c r="Z8" s="12">
        <f>+$O$8*M8</f>
        <v>0</v>
      </c>
      <c r="AA8" s="12">
        <f>+$O$8*N8</f>
        <v>0</v>
      </c>
      <c r="AB8" s="13">
        <f>5000*0.14*0.29</f>
        <v>203.00000000000003</v>
      </c>
      <c r="AC8" s="13">
        <f>5000*0.14*0.34</f>
        <v>238.00000000000006</v>
      </c>
      <c r="AD8" s="13">
        <f>5000*0.14*0.37</f>
        <v>259.00000000000006</v>
      </c>
      <c r="AE8" s="13">
        <f>5000*0.13*0.32</f>
        <v>208</v>
      </c>
      <c r="AF8" s="13">
        <f>5000*0.13*0.28</f>
        <v>182.00000000000003</v>
      </c>
      <c r="AG8" s="13">
        <f>5000*0.13*0.4</f>
        <v>260</v>
      </c>
      <c r="AH8" s="13">
        <f>5000*0.6*0.34</f>
        <v>1020.0000000000001</v>
      </c>
      <c r="AI8" s="13">
        <f>5000*0.6*0.36</f>
        <v>1080</v>
      </c>
      <c r="AJ8" s="13">
        <f>5000*0.6*0.3</f>
        <v>900</v>
      </c>
      <c r="AK8" s="13">
        <f>5000*0.13*0.45</f>
        <v>292.5</v>
      </c>
      <c r="AL8" s="13">
        <f>5000*0.13*0.31</f>
        <v>201.5</v>
      </c>
      <c r="AM8" s="13">
        <f>5000*0.13*0.24</f>
        <v>156</v>
      </c>
      <c r="AN8" s="14">
        <f t="shared" si="0"/>
        <v>5000</v>
      </c>
      <c r="AO8" s="3">
        <v>70</v>
      </c>
      <c r="AP8" s="3">
        <v>70</v>
      </c>
      <c r="AQ8" s="3">
        <v>70</v>
      </c>
      <c r="AR8" s="3">
        <v>70</v>
      </c>
      <c r="AS8" s="3">
        <v>70</v>
      </c>
      <c r="AT8" s="3">
        <v>70</v>
      </c>
      <c r="AU8" s="3">
        <v>60</v>
      </c>
      <c r="AV8" s="3">
        <v>60</v>
      </c>
      <c r="AW8" s="3">
        <v>60</v>
      </c>
      <c r="AX8" s="3">
        <v>60</v>
      </c>
      <c r="AY8" s="3">
        <v>60</v>
      </c>
      <c r="AZ8" s="3">
        <v>60</v>
      </c>
      <c r="BA8" s="3"/>
      <c r="BB8" s="13">
        <f t="shared" si="1"/>
        <v>142.10000000000002</v>
      </c>
      <c r="BC8" s="13">
        <f t="shared" si="2"/>
        <v>166.60000000000002</v>
      </c>
      <c r="BD8" s="13">
        <f t="shared" si="3"/>
        <v>181.30000000000004</v>
      </c>
      <c r="BE8" s="13">
        <f t="shared" si="4"/>
        <v>145.6</v>
      </c>
      <c r="BF8" s="13">
        <f t="shared" si="5"/>
        <v>127.40000000000002</v>
      </c>
      <c r="BG8" s="13">
        <f t="shared" si="6"/>
        <v>182</v>
      </c>
      <c r="BH8" s="13">
        <f t="shared" si="7"/>
        <v>612.0000000000001</v>
      </c>
      <c r="BI8" s="13">
        <f t="shared" si="8"/>
        <v>648</v>
      </c>
      <c r="BJ8" s="13">
        <f t="shared" si="9"/>
        <v>540</v>
      </c>
      <c r="BK8" s="13">
        <f t="shared" si="12"/>
        <v>175.5</v>
      </c>
      <c r="BL8" s="13">
        <f t="shared" si="10"/>
        <v>120.9</v>
      </c>
      <c r="BM8" s="13">
        <f t="shared" si="11"/>
        <v>93.6</v>
      </c>
    </row>
    <row r="9" spans="1:65" ht="15.75">
      <c r="A9" s="3" t="s">
        <v>23</v>
      </c>
      <c r="B9" s="3"/>
      <c r="C9" s="10">
        <f t="shared" si="13"/>
        <v>0</v>
      </c>
      <c r="D9" s="10">
        <f t="shared" si="14"/>
        <v>0</v>
      </c>
      <c r="E9" s="10">
        <f t="shared" si="15"/>
        <v>0</v>
      </c>
      <c r="F9" s="10">
        <f t="shared" si="16"/>
        <v>0</v>
      </c>
      <c r="G9" s="10">
        <f t="shared" si="17"/>
        <v>0</v>
      </c>
      <c r="H9" s="10">
        <f t="shared" si="18"/>
        <v>0</v>
      </c>
      <c r="I9" s="10">
        <f t="shared" si="19"/>
        <v>0</v>
      </c>
      <c r="J9" s="10">
        <f t="shared" si="20"/>
        <v>0</v>
      </c>
      <c r="K9" s="10">
        <f t="shared" si="21"/>
        <v>0</v>
      </c>
      <c r="L9" s="10">
        <f t="shared" si="22"/>
        <v>0</v>
      </c>
      <c r="M9" s="10">
        <f t="shared" si="23"/>
        <v>0</v>
      </c>
      <c r="N9" s="10">
        <f t="shared" si="24"/>
        <v>0</v>
      </c>
      <c r="O9" s="11"/>
      <c r="P9" s="12">
        <f>+$O$9*C9</f>
        <v>0</v>
      </c>
      <c r="Q9" s="12">
        <f>+$O$9*D9</f>
        <v>0</v>
      </c>
      <c r="R9" s="12">
        <f>+$O$9*E9</f>
        <v>0</v>
      </c>
      <c r="S9" s="12">
        <f>+$O$9*F9</f>
        <v>0</v>
      </c>
      <c r="T9" s="12">
        <f>+$O$9*G9</f>
        <v>0</v>
      </c>
      <c r="U9" s="12">
        <f>+$O$9*H9</f>
        <v>0</v>
      </c>
      <c r="V9" s="12">
        <f>+$O$9*I9</f>
        <v>0</v>
      </c>
      <c r="W9" s="12">
        <f>+$O$9*J9</f>
        <v>0</v>
      </c>
      <c r="X9" s="12">
        <f>+$O$9*K9</f>
        <v>0</v>
      </c>
      <c r="Y9" s="12">
        <f>+$O$9*L9</f>
        <v>0</v>
      </c>
      <c r="Z9" s="12">
        <f>+$O$9*M9</f>
        <v>0</v>
      </c>
      <c r="AA9" s="12">
        <f>+$O$9*N9</f>
        <v>0</v>
      </c>
      <c r="AB9" s="13"/>
      <c r="AC9" s="13">
        <f>6000*0.17*0.5</f>
        <v>510.00000000000006</v>
      </c>
      <c r="AD9" s="13">
        <f>6000*0.17*0.5</f>
        <v>510.00000000000006</v>
      </c>
      <c r="AE9" s="13">
        <f>6000*0.16*0.29</f>
        <v>278.4</v>
      </c>
      <c r="AF9" s="13">
        <f>6000*0.16*0.29</f>
        <v>278.4</v>
      </c>
      <c r="AG9" s="13">
        <f>6000*0.16*0.42</f>
        <v>403.2</v>
      </c>
      <c r="AH9" s="13">
        <f>6000*0.48*0.38</f>
        <v>1094.4</v>
      </c>
      <c r="AI9" s="13">
        <f>6000*0.48*0.38</f>
        <v>1094.4</v>
      </c>
      <c r="AJ9" s="13">
        <f>6000*0.48*0.24</f>
        <v>691.1999999999999</v>
      </c>
      <c r="AK9" s="13">
        <f>6000*0.19*0.45</f>
        <v>513</v>
      </c>
      <c r="AL9" s="13">
        <f>6000*0.19*0.31</f>
        <v>353.4</v>
      </c>
      <c r="AM9" s="13">
        <f>6000*0.19*0.24</f>
        <v>273.59999999999997</v>
      </c>
      <c r="AN9" s="14">
        <f t="shared" si="0"/>
        <v>6000.000000000001</v>
      </c>
      <c r="AO9" s="3">
        <v>70</v>
      </c>
      <c r="AP9" s="3">
        <v>70</v>
      </c>
      <c r="AQ9" s="3">
        <v>70</v>
      </c>
      <c r="AR9" s="3">
        <v>70</v>
      </c>
      <c r="AS9" s="3">
        <v>70</v>
      </c>
      <c r="AT9" s="3">
        <v>70</v>
      </c>
      <c r="AU9" s="3">
        <v>60</v>
      </c>
      <c r="AV9" s="3">
        <v>60</v>
      </c>
      <c r="AW9" s="3">
        <v>60</v>
      </c>
      <c r="AX9" s="3">
        <v>60</v>
      </c>
      <c r="AY9" s="3">
        <v>60</v>
      </c>
      <c r="AZ9" s="3">
        <v>60</v>
      </c>
      <c r="BA9" s="3"/>
      <c r="BB9" s="13">
        <f t="shared" si="1"/>
        <v>0</v>
      </c>
      <c r="BC9" s="13">
        <f t="shared" si="2"/>
        <v>357.00000000000006</v>
      </c>
      <c r="BD9" s="13">
        <f t="shared" si="3"/>
        <v>357.00000000000006</v>
      </c>
      <c r="BE9" s="13">
        <f t="shared" si="4"/>
        <v>194.88</v>
      </c>
      <c r="BF9" s="13">
        <f t="shared" si="5"/>
        <v>194.88</v>
      </c>
      <c r="BG9" s="13">
        <f t="shared" si="6"/>
        <v>282.24</v>
      </c>
      <c r="BH9" s="13">
        <f t="shared" si="7"/>
        <v>656.64</v>
      </c>
      <c r="BI9" s="13">
        <f t="shared" si="8"/>
        <v>656.64</v>
      </c>
      <c r="BJ9" s="13">
        <f t="shared" si="9"/>
        <v>414.7199999999999</v>
      </c>
      <c r="BK9" s="13">
        <f t="shared" si="12"/>
        <v>307.8</v>
      </c>
      <c r="BL9" s="13">
        <f t="shared" si="10"/>
        <v>212.04</v>
      </c>
      <c r="BM9" s="13">
        <f t="shared" si="11"/>
        <v>164.15999999999997</v>
      </c>
    </row>
    <row r="10" spans="1:65" ht="15.75">
      <c r="A10" s="3" t="s">
        <v>24</v>
      </c>
      <c r="B10" s="3"/>
      <c r="C10" s="10">
        <f t="shared" si="13"/>
        <v>0</v>
      </c>
      <c r="D10" s="10">
        <f t="shared" si="14"/>
        <v>0</v>
      </c>
      <c r="E10" s="10">
        <f t="shared" si="15"/>
        <v>0</v>
      </c>
      <c r="F10" s="10">
        <f t="shared" si="16"/>
        <v>0</v>
      </c>
      <c r="G10" s="10">
        <f t="shared" si="17"/>
        <v>0</v>
      </c>
      <c r="H10" s="10">
        <f t="shared" si="18"/>
        <v>0</v>
      </c>
      <c r="I10" s="10">
        <f t="shared" si="19"/>
        <v>0</v>
      </c>
      <c r="J10" s="10">
        <f t="shared" si="20"/>
        <v>0</v>
      </c>
      <c r="K10" s="10">
        <f t="shared" si="21"/>
        <v>0</v>
      </c>
      <c r="L10" s="10">
        <f t="shared" si="22"/>
        <v>0</v>
      </c>
      <c r="M10" s="10">
        <f t="shared" si="23"/>
        <v>0</v>
      </c>
      <c r="N10" s="10">
        <f t="shared" si="24"/>
        <v>0</v>
      </c>
      <c r="O10" s="11"/>
      <c r="P10" s="12">
        <f>+$O$10*C10</f>
        <v>0</v>
      </c>
      <c r="Q10" s="12">
        <f>+$O$10*D10</f>
        <v>0</v>
      </c>
      <c r="R10" s="12">
        <f>+$O$10*E10</f>
        <v>0</v>
      </c>
      <c r="S10" s="12">
        <f>+$O$10*F10</f>
        <v>0</v>
      </c>
      <c r="T10" s="12">
        <f>+$O$10*G10</f>
        <v>0</v>
      </c>
      <c r="U10" s="12">
        <f>+$O$10*H10</f>
        <v>0</v>
      </c>
      <c r="V10" s="12">
        <f>+$O$10*I10</f>
        <v>0</v>
      </c>
      <c r="W10" s="12">
        <f>+$O$10*J10</f>
        <v>0</v>
      </c>
      <c r="X10" s="12">
        <f>+$O$10*K10</f>
        <v>0</v>
      </c>
      <c r="Y10" s="12">
        <f>+$O$10*L10</f>
        <v>0</v>
      </c>
      <c r="Z10" s="12">
        <f>+$O$10*M10</f>
        <v>0</v>
      </c>
      <c r="AA10" s="12">
        <f>+$O$10*N10</f>
        <v>0</v>
      </c>
      <c r="AB10" s="13">
        <f>7000*0.2*0.29</f>
        <v>406</v>
      </c>
      <c r="AC10" s="13">
        <f>7000*0.2*0.34</f>
        <v>476.00000000000006</v>
      </c>
      <c r="AD10" s="13">
        <f>7000*0.2*0.37</f>
        <v>518</v>
      </c>
      <c r="AE10" s="13">
        <f>7000*0.15*0.32</f>
        <v>336</v>
      </c>
      <c r="AF10" s="13">
        <f>7000*0.15*0.28</f>
        <v>294</v>
      </c>
      <c r="AG10" s="13">
        <f>7000*0.15*0.4</f>
        <v>420</v>
      </c>
      <c r="AH10" s="13">
        <f>7000*0.46*0.34</f>
        <v>1094.8000000000002</v>
      </c>
      <c r="AI10" s="13">
        <f>7000*0.46*0.36</f>
        <v>1159.2</v>
      </c>
      <c r="AJ10" s="13">
        <f>7000*0.46*0.3</f>
        <v>966</v>
      </c>
      <c r="AK10" s="13">
        <f>7000*0.19*0.45</f>
        <v>598.5</v>
      </c>
      <c r="AL10" s="13">
        <f>7000*0.19*0.31</f>
        <v>412.3</v>
      </c>
      <c r="AM10" s="13">
        <f>7000*0.19*0.24</f>
        <v>319.2</v>
      </c>
      <c r="AN10" s="14">
        <f t="shared" si="0"/>
        <v>7000</v>
      </c>
      <c r="AO10" s="3">
        <v>70</v>
      </c>
      <c r="AP10" s="3">
        <v>70</v>
      </c>
      <c r="AQ10" s="3">
        <v>70</v>
      </c>
      <c r="AR10" s="3">
        <v>70</v>
      </c>
      <c r="AS10" s="3">
        <v>70</v>
      </c>
      <c r="AT10" s="3">
        <v>70</v>
      </c>
      <c r="AU10" s="3">
        <v>60</v>
      </c>
      <c r="AV10" s="3">
        <v>60</v>
      </c>
      <c r="AW10" s="3">
        <v>60</v>
      </c>
      <c r="AX10" s="3">
        <v>60</v>
      </c>
      <c r="AY10" s="3">
        <v>60</v>
      </c>
      <c r="AZ10" s="3">
        <v>60</v>
      </c>
      <c r="BA10" s="3"/>
      <c r="BB10" s="13">
        <f t="shared" si="1"/>
        <v>284.2</v>
      </c>
      <c r="BC10" s="13">
        <f t="shared" si="2"/>
        <v>333.20000000000005</v>
      </c>
      <c r="BD10" s="13">
        <f t="shared" si="3"/>
        <v>362.6</v>
      </c>
      <c r="BE10" s="13">
        <f t="shared" si="4"/>
        <v>235.2</v>
      </c>
      <c r="BF10" s="13">
        <f t="shared" si="5"/>
        <v>205.8</v>
      </c>
      <c r="BG10" s="13">
        <f t="shared" si="6"/>
        <v>294</v>
      </c>
      <c r="BH10" s="13">
        <f t="shared" si="7"/>
        <v>656.8800000000001</v>
      </c>
      <c r="BI10" s="13">
        <f t="shared" si="8"/>
        <v>695.52</v>
      </c>
      <c r="BJ10" s="13">
        <f t="shared" si="9"/>
        <v>579.6</v>
      </c>
      <c r="BK10" s="13">
        <f t="shared" si="12"/>
        <v>359.1</v>
      </c>
      <c r="BL10" s="13">
        <f t="shared" si="10"/>
        <v>247.38</v>
      </c>
      <c r="BM10" s="13">
        <f t="shared" si="11"/>
        <v>191.52</v>
      </c>
    </row>
    <row r="11" spans="1:65" ht="15.75">
      <c r="A11" s="3" t="s">
        <v>25</v>
      </c>
      <c r="B11" s="3"/>
      <c r="C11" s="10">
        <f t="shared" si="13"/>
        <v>0</v>
      </c>
      <c r="D11" s="10">
        <f t="shared" si="14"/>
        <v>0</v>
      </c>
      <c r="E11" s="10">
        <f t="shared" si="15"/>
        <v>0</v>
      </c>
      <c r="F11" s="10">
        <f t="shared" si="16"/>
        <v>0</v>
      </c>
      <c r="G11" s="10">
        <f t="shared" si="17"/>
        <v>0</v>
      </c>
      <c r="H11" s="10">
        <f t="shared" si="18"/>
        <v>0</v>
      </c>
      <c r="I11" s="10">
        <f t="shared" si="19"/>
        <v>0</v>
      </c>
      <c r="J11" s="10">
        <f t="shared" si="20"/>
        <v>0</v>
      </c>
      <c r="K11" s="10">
        <f t="shared" si="21"/>
        <v>0</v>
      </c>
      <c r="L11" s="10">
        <f t="shared" si="22"/>
        <v>0</v>
      </c>
      <c r="M11" s="10">
        <f t="shared" si="23"/>
        <v>0</v>
      </c>
      <c r="N11" s="10">
        <f t="shared" si="24"/>
        <v>0</v>
      </c>
      <c r="O11" s="11"/>
      <c r="P11" s="12">
        <f>+$O$11*C11</f>
        <v>0</v>
      </c>
      <c r="Q11" s="12">
        <f>+$O$11*D11</f>
        <v>0</v>
      </c>
      <c r="R11" s="12">
        <f>+$O$11*E11</f>
        <v>0</v>
      </c>
      <c r="S11" s="12">
        <f>+$O$11*F11</f>
        <v>0</v>
      </c>
      <c r="T11" s="12">
        <f>+$O$11*G11</f>
        <v>0</v>
      </c>
      <c r="U11" s="12">
        <f>+$O$11*H11</f>
        <v>0</v>
      </c>
      <c r="V11" s="12">
        <f>+$O$11*I11</f>
        <v>0</v>
      </c>
      <c r="W11" s="12">
        <f>+$O$11*J11</f>
        <v>0</v>
      </c>
      <c r="X11" s="12">
        <f>+$O$11*K11</f>
        <v>0</v>
      </c>
      <c r="Y11" s="12">
        <f>+$O$11*L11</f>
        <v>0</v>
      </c>
      <c r="Z11" s="12">
        <f>+$O$11*M11</f>
        <v>0</v>
      </c>
      <c r="AA11" s="12">
        <f>+$O$11*N11</f>
        <v>0</v>
      </c>
      <c r="AB11" s="13"/>
      <c r="AC11" s="13"/>
      <c r="AD11" s="13">
        <f>8500*0.14</f>
        <v>1190</v>
      </c>
      <c r="AE11" s="13">
        <f>8500*0.28*0.28</f>
        <v>666.4000000000001</v>
      </c>
      <c r="AF11" s="13">
        <f>8500*0.28*0.29</f>
        <v>690.1999999999999</v>
      </c>
      <c r="AG11" s="13">
        <f>8500*0.28*0.43</f>
        <v>1023.4</v>
      </c>
      <c r="AH11" s="13">
        <f>8500*0.41*0.34</f>
        <v>1184.9</v>
      </c>
      <c r="AI11" s="13">
        <f>8500*0.41*0.36</f>
        <v>1254.6</v>
      </c>
      <c r="AJ11" s="13">
        <f>8500*0.41*0.3</f>
        <v>1045.5</v>
      </c>
      <c r="AK11" s="13">
        <f>8500*0.17*0.45</f>
        <v>650.25</v>
      </c>
      <c r="AL11" s="13">
        <f>8500*0.17*0.31</f>
        <v>447.95</v>
      </c>
      <c r="AM11" s="13">
        <f>8500*0.17*0.24</f>
        <v>346.8</v>
      </c>
      <c r="AN11" s="14">
        <f t="shared" si="0"/>
        <v>8500</v>
      </c>
      <c r="AO11" s="3">
        <v>70</v>
      </c>
      <c r="AP11" s="3">
        <v>70</v>
      </c>
      <c r="AQ11" s="3">
        <v>70</v>
      </c>
      <c r="AR11" s="3">
        <v>70</v>
      </c>
      <c r="AS11" s="3">
        <v>70</v>
      </c>
      <c r="AT11" s="3">
        <v>70</v>
      </c>
      <c r="AU11" s="3">
        <v>60</v>
      </c>
      <c r="AV11" s="3">
        <v>60</v>
      </c>
      <c r="AW11" s="3">
        <v>60</v>
      </c>
      <c r="AX11" s="3">
        <v>60</v>
      </c>
      <c r="AY11" s="3">
        <v>60</v>
      </c>
      <c r="AZ11" s="3">
        <v>60</v>
      </c>
      <c r="BA11" s="3"/>
      <c r="BB11" s="13">
        <f t="shared" si="1"/>
        <v>0</v>
      </c>
      <c r="BC11" s="13">
        <f t="shared" si="2"/>
        <v>0</v>
      </c>
      <c r="BD11" s="13">
        <f t="shared" si="3"/>
        <v>833</v>
      </c>
      <c r="BE11" s="13">
        <f t="shared" si="4"/>
        <v>466.4800000000001</v>
      </c>
      <c r="BF11" s="13">
        <f t="shared" si="5"/>
        <v>483.13999999999993</v>
      </c>
      <c r="BG11" s="13">
        <f t="shared" si="6"/>
        <v>716.38</v>
      </c>
      <c r="BH11" s="13">
        <f t="shared" si="7"/>
        <v>710.94</v>
      </c>
      <c r="BI11" s="13">
        <f t="shared" si="8"/>
        <v>752.76</v>
      </c>
      <c r="BJ11" s="13">
        <f t="shared" si="9"/>
        <v>627.3</v>
      </c>
      <c r="BK11" s="13">
        <f t="shared" si="12"/>
        <v>390.15</v>
      </c>
      <c r="BL11" s="13">
        <f t="shared" si="10"/>
        <v>268.77</v>
      </c>
      <c r="BM11" s="13">
        <f t="shared" si="11"/>
        <v>208.08</v>
      </c>
    </row>
    <row r="12" spans="1:65" ht="15.75">
      <c r="A12" s="3" t="s">
        <v>20</v>
      </c>
      <c r="B12" s="3"/>
      <c r="C12" s="10">
        <f t="shared" si="13"/>
        <v>0</v>
      </c>
      <c r="D12" s="10">
        <f t="shared" si="14"/>
        <v>0</v>
      </c>
      <c r="E12" s="10">
        <f t="shared" si="15"/>
        <v>0</v>
      </c>
      <c r="F12" s="10">
        <f t="shared" si="16"/>
        <v>0</v>
      </c>
      <c r="G12" s="10">
        <f t="shared" si="17"/>
        <v>0</v>
      </c>
      <c r="H12" s="10">
        <f t="shared" si="18"/>
        <v>0</v>
      </c>
      <c r="I12" s="10">
        <f t="shared" si="19"/>
        <v>0</v>
      </c>
      <c r="J12" s="10">
        <f t="shared" si="20"/>
        <v>0</v>
      </c>
      <c r="K12" s="10">
        <f t="shared" si="21"/>
        <v>0</v>
      </c>
      <c r="L12" s="10">
        <f t="shared" si="22"/>
        <v>0</v>
      </c>
      <c r="M12" s="10">
        <f t="shared" si="23"/>
        <v>0</v>
      </c>
      <c r="N12" s="10">
        <f t="shared" si="24"/>
        <v>0</v>
      </c>
      <c r="O12" s="11"/>
      <c r="P12" s="12">
        <f>+$O$12*C12</f>
        <v>0</v>
      </c>
      <c r="Q12" s="12">
        <f>+$O$12*D12</f>
        <v>0</v>
      </c>
      <c r="R12" s="12">
        <f>+$O$12*E12</f>
        <v>0</v>
      </c>
      <c r="S12" s="12">
        <f>+$O$12*F12</f>
        <v>0</v>
      </c>
      <c r="T12" s="12">
        <f>+$O$12*G12</f>
        <v>0</v>
      </c>
      <c r="U12" s="12">
        <f>+$O$12*H12</f>
        <v>0</v>
      </c>
      <c r="V12" s="12">
        <f>+$O$12*I12</f>
        <v>0</v>
      </c>
      <c r="W12" s="12">
        <f>+$O$12*J12</f>
        <v>0</v>
      </c>
      <c r="X12" s="12">
        <f>+$O$12*K12</f>
        <v>0</v>
      </c>
      <c r="Y12" s="12">
        <f>+$O$12*L12</f>
        <v>0</v>
      </c>
      <c r="Z12" s="12">
        <f>+$O$12*M12</f>
        <v>0</v>
      </c>
      <c r="AA12" s="12">
        <f>+$O$12*N12</f>
        <v>0</v>
      </c>
      <c r="AB12" s="13">
        <f>9000*0.28*0.29</f>
        <v>730.8000000000001</v>
      </c>
      <c r="AC12" s="13">
        <f>9000*0.28*0.34</f>
        <v>856.8000000000002</v>
      </c>
      <c r="AD12" s="13">
        <f>9000*0.28*0.37</f>
        <v>932.4000000000002</v>
      </c>
      <c r="AE12" s="13">
        <f>9000*0.15*0.32</f>
        <v>432</v>
      </c>
      <c r="AF12" s="13">
        <f>9000*0.15*0.28</f>
        <v>378.00000000000006</v>
      </c>
      <c r="AG12" s="13">
        <f>9000*0.15*0.4</f>
        <v>540</v>
      </c>
      <c r="AH12" s="13">
        <f>9000*0.4*0.34</f>
        <v>1224</v>
      </c>
      <c r="AI12" s="13">
        <f>9000*0.4*0.36</f>
        <v>1296</v>
      </c>
      <c r="AJ12" s="13">
        <f>9000*0.4*0.3</f>
        <v>1080</v>
      </c>
      <c r="AK12" s="13">
        <f>9000*0.18*0.45</f>
        <v>729</v>
      </c>
      <c r="AL12" s="13">
        <f>9000*0.18*0.31</f>
        <v>502.2</v>
      </c>
      <c r="AM12" s="13">
        <f>9000*0.18*0.24</f>
        <v>388.8</v>
      </c>
      <c r="AN12" s="14">
        <f t="shared" si="0"/>
        <v>9090</v>
      </c>
      <c r="AO12" s="3">
        <v>70</v>
      </c>
      <c r="AP12" s="3">
        <v>70</v>
      </c>
      <c r="AQ12" s="3">
        <v>70</v>
      </c>
      <c r="AR12" s="3">
        <v>70</v>
      </c>
      <c r="AS12" s="3">
        <v>70</v>
      </c>
      <c r="AT12" s="3">
        <v>70</v>
      </c>
      <c r="AU12" s="3">
        <v>60</v>
      </c>
      <c r="AV12" s="3">
        <v>60</v>
      </c>
      <c r="AW12" s="3">
        <v>60</v>
      </c>
      <c r="AX12" s="3">
        <v>60</v>
      </c>
      <c r="AY12" s="3">
        <v>60</v>
      </c>
      <c r="AZ12" s="3">
        <v>60</v>
      </c>
      <c r="BA12" s="3"/>
      <c r="BB12" s="13">
        <f t="shared" si="1"/>
        <v>511.56000000000006</v>
      </c>
      <c r="BC12" s="13">
        <f t="shared" si="2"/>
        <v>599.7600000000001</v>
      </c>
      <c r="BD12" s="13">
        <f t="shared" si="3"/>
        <v>652.6800000000002</v>
      </c>
      <c r="BE12" s="13">
        <f t="shared" si="4"/>
        <v>302.4</v>
      </c>
      <c r="BF12" s="13">
        <f t="shared" si="5"/>
        <v>264.6</v>
      </c>
      <c r="BG12" s="13">
        <f t="shared" si="6"/>
        <v>378</v>
      </c>
      <c r="BH12" s="13">
        <f t="shared" si="7"/>
        <v>734.4</v>
      </c>
      <c r="BI12" s="13">
        <f t="shared" si="8"/>
        <v>777.6</v>
      </c>
      <c r="BJ12" s="13">
        <f t="shared" si="9"/>
        <v>648</v>
      </c>
      <c r="BK12" s="13">
        <f t="shared" si="12"/>
        <v>437.4</v>
      </c>
      <c r="BL12" s="13">
        <f t="shared" si="10"/>
        <v>301.32</v>
      </c>
      <c r="BM12" s="13">
        <f t="shared" si="11"/>
        <v>233.28</v>
      </c>
    </row>
    <row r="13" spans="1:65" ht="15.75">
      <c r="A13" s="3" t="s">
        <v>21</v>
      </c>
      <c r="B13" s="3"/>
      <c r="C13" s="10">
        <f t="shared" si="13"/>
        <v>0</v>
      </c>
      <c r="D13" s="10">
        <f t="shared" si="14"/>
        <v>0</v>
      </c>
      <c r="E13" s="10">
        <f t="shared" si="15"/>
        <v>0</v>
      </c>
      <c r="F13" s="10">
        <f t="shared" si="16"/>
        <v>0</v>
      </c>
      <c r="G13" s="10">
        <f t="shared" si="17"/>
        <v>0</v>
      </c>
      <c r="H13" s="10">
        <f t="shared" si="18"/>
        <v>0</v>
      </c>
      <c r="I13" s="10">
        <f t="shared" si="19"/>
        <v>0</v>
      </c>
      <c r="J13" s="10">
        <f t="shared" si="20"/>
        <v>0</v>
      </c>
      <c r="K13" s="10">
        <f t="shared" si="21"/>
        <v>0</v>
      </c>
      <c r="L13" s="10">
        <f t="shared" si="22"/>
        <v>0</v>
      </c>
      <c r="M13" s="10">
        <f t="shared" si="23"/>
        <v>0</v>
      </c>
      <c r="N13" s="10">
        <f t="shared" si="24"/>
        <v>0</v>
      </c>
      <c r="O13" s="11"/>
      <c r="P13" s="12">
        <f>+$O$13*C13</f>
        <v>0</v>
      </c>
      <c r="Q13" s="12">
        <f>+$O$13*D13</f>
        <v>0</v>
      </c>
      <c r="R13" s="12">
        <f>+$O$13*E13</f>
        <v>0</v>
      </c>
      <c r="S13" s="12">
        <f>+$O$13*F13</f>
        <v>0</v>
      </c>
      <c r="T13" s="12">
        <f>+$O$13*G13</f>
        <v>0</v>
      </c>
      <c r="U13" s="12">
        <f>+$O$13*H13</f>
        <v>0</v>
      </c>
      <c r="V13" s="12">
        <f>+$O$13*I13</f>
        <v>0</v>
      </c>
      <c r="W13" s="12">
        <f>+$O$13*J13</f>
        <v>0</v>
      </c>
      <c r="X13" s="12">
        <f>+$O$13*K13</f>
        <v>0</v>
      </c>
      <c r="Y13" s="12">
        <f>+$O$13*L13</f>
        <v>0</v>
      </c>
      <c r="Z13" s="12">
        <f>+$O$13*M13</f>
        <v>0</v>
      </c>
      <c r="AA13" s="12">
        <f>+$O$13*N13</f>
        <v>0</v>
      </c>
      <c r="AB13" s="13">
        <f>5500*0.24*0.29</f>
        <v>382.79999999999995</v>
      </c>
      <c r="AC13" s="13">
        <f>5500*0.24*0.34</f>
        <v>448.8</v>
      </c>
      <c r="AD13" s="13">
        <f>5500*0.24*0.37</f>
        <v>488.4</v>
      </c>
      <c r="AE13" s="13">
        <f>5500*0.15*0.32</f>
        <v>264</v>
      </c>
      <c r="AF13" s="13">
        <f>5500*0.15*0.28</f>
        <v>231.00000000000003</v>
      </c>
      <c r="AG13" s="13">
        <f>5500*0.15*0.4</f>
        <v>330</v>
      </c>
      <c r="AH13" s="13">
        <f>5500*0.47*0.34</f>
        <v>878.9000000000001</v>
      </c>
      <c r="AI13" s="13">
        <f>5500*0.47*0.36</f>
        <v>930.5999999999999</v>
      </c>
      <c r="AJ13" s="13">
        <f>5500*0.47*0.3</f>
        <v>775.5</v>
      </c>
      <c r="AK13" s="13">
        <f>5500*0.14*0.45</f>
        <v>346.50000000000006</v>
      </c>
      <c r="AL13" s="13">
        <f>5500*0.14*0.31</f>
        <v>238.70000000000005</v>
      </c>
      <c r="AM13" s="13">
        <f>5500*0.14*0.24</f>
        <v>184.8</v>
      </c>
      <c r="AN13" s="14">
        <f t="shared" si="0"/>
        <v>5500.000000000001</v>
      </c>
      <c r="AO13" s="3">
        <v>70</v>
      </c>
      <c r="AP13" s="3">
        <v>70</v>
      </c>
      <c r="AQ13" s="3">
        <v>70</v>
      </c>
      <c r="AR13" s="3">
        <v>70</v>
      </c>
      <c r="AS13" s="3">
        <v>70</v>
      </c>
      <c r="AT13" s="3">
        <v>70</v>
      </c>
      <c r="AU13" s="3">
        <v>60</v>
      </c>
      <c r="AV13" s="3">
        <v>60</v>
      </c>
      <c r="AW13" s="3">
        <v>60</v>
      </c>
      <c r="AX13" s="3">
        <v>60</v>
      </c>
      <c r="AY13" s="3">
        <v>60</v>
      </c>
      <c r="AZ13" s="3">
        <v>60</v>
      </c>
      <c r="BA13" s="3"/>
      <c r="BB13" s="13">
        <f t="shared" si="1"/>
        <v>267.96</v>
      </c>
      <c r="BC13" s="13">
        <f t="shared" si="2"/>
        <v>314.16</v>
      </c>
      <c r="BD13" s="13">
        <f t="shared" si="3"/>
        <v>341.88</v>
      </c>
      <c r="BE13" s="13">
        <f t="shared" si="4"/>
        <v>184.8</v>
      </c>
      <c r="BF13" s="13">
        <f t="shared" si="5"/>
        <v>161.70000000000002</v>
      </c>
      <c r="BG13" s="13">
        <f t="shared" si="6"/>
        <v>231</v>
      </c>
      <c r="BH13" s="13">
        <f t="shared" si="7"/>
        <v>527.34</v>
      </c>
      <c r="BI13" s="13">
        <f t="shared" si="8"/>
        <v>558.3599999999999</v>
      </c>
      <c r="BJ13" s="13">
        <f t="shared" si="9"/>
        <v>465.3</v>
      </c>
      <c r="BK13" s="13">
        <f t="shared" si="12"/>
        <v>207.90000000000003</v>
      </c>
      <c r="BL13" s="13">
        <f t="shared" si="10"/>
        <v>143.22000000000003</v>
      </c>
      <c r="BM13" s="13">
        <f t="shared" si="11"/>
        <v>110.88</v>
      </c>
    </row>
    <row r="14" spans="1:65" ht="15.75">
      <c r="A14" s="3" t="s">
        <v>26</v>
      </c>
      <c r="B14" s="3"/>
      <c r="C14" s="10">
        <f t="shared" si="13"/>
        <v>0</v>
      </c>
      <c r="D14" s="10">
        <f t="shared" si="14"/>
        <v>0</v>
      </c>
      <c r="E14" s="10">
        <f t="shared" si="15"/>
        <v>0</v>
      </c>
      <c r="F14" s="10">
        <f t="shared" si="16"/>
        <v>0</v>
      </c>
      <c r="G14" s="10">
        <f t="shared" si="17"/>
        <v>0</v>
      </c>
      <c r="H14" s="10">
        <f t="shared" si="18"/>
        <v>0</v>
      </c>
      <c r="I14" s="10">
        <f t="shared" si="19"/>
        <v>0</v>
      </c>
      <c r="J14" s="10">
        <f t="shared" si="20"/>
        <v>0</v>
      </c>
      <c r="K14" s="10">
        <f t="shared" si="21"/>
        <v>0</v>
      </c>
      <c r="L14" s="10">
        <f t="shared" si="22"/>
        <v>0</v>
      </c>
      <c r="M14" s="10">
        <f t="shared" si="23"/>
        <v>0</v>
      </c>
      <c r="N14" s="10">
        <f t="shared" si="24"/>
        <v>0</v>
      </c>
      <c r="O14" s="11"/>
      <c r="P14" s="12">
        <f>+$O$14*C14</f>
        <v>0</v>
      </c>
      <c r="Q14" s="12">
        <f>+$O$14*D14</f>
        <v>0</v>
      </c>
      <c r="R14" s="12">
        <f>+$O$14*E14</f>
        <v>0</v>
      </c>
      <c r="S14" s="12">
        <f>+$O$14*F14</f>
        <v>0</v>
      </c>
      <c r="T14" s="12">
        <f>+$O$14*G14</f>
        <v>0</v>
      </c>
      <c r="U14" s="12">
        <f>+$O$14*H14</f>
        <v>0</v>
      </c>
      <c r="V14" s="12">
        <f>+$O$14*I14</f>
        <v>0</v>
      </c>
      <c r="W14" s="12">
        <f>+$O$14*J14</f>
        <v>0</v>
      </c>
      <c r="X14" s="12">
        <f>+$O$14*K14</f>
        <v>0</v>
      </c>
      <c r="Y14" s="12">
        <f>+$O$14*L14</f>
        <v>0</v>
      </c>
      <c r="Z14" s="12">
        <f>+$O$14*M14</f>
        <v>0</v>
      </c>
      <c r="AA14" s="12">
        <f>+$O$14*N14</f>
        <v>0</v>
      </c>
      <c r="AB14" s="13"/>
      <c r="AC14" s="13"/>
      <c r="AD14" s="13"/>
      <c r="AE14" s="13"/>
      <c r="AF14" s="13"/>
      <c r="AG14" s="13"/>
      <c r="AH14" s="13">
        <f>8762*0.55*0.25</f>
        <v>1204.775</v>
      </c>
      <c r="AI14" s="13">
        <f>8762*0.55*0.36</f>
        <v>1734.876</v>
      </c>
      <c r="AJ14" s="13">
        <f>8762*0.55*0.39</f>
        <v>1879.4490000000003</v>
      </c>
      <c r="AK14" s="13">
        <f>8762*0.45*0.4</f>
        <v>1577.16</v>
      </c>
      <c r="AL14" s="13">
        <f>8762*0.45*0.35</f>
        <v>1380.0149999999999</v>
      </c>
      <c r="AM14" s="13">
        <f>8762*0.45*0.25</f>
        <v>985.725</v>
      </c>
      <c r="AN14" s="14">
        <f t="shared" si="0"/>
        <v>8762</v>
      </c>
      <c r="AO14" s="3">
        <v>70</v>
      </c>
      <c r="AP14" s="3">
        <v>70</v>
      </c>
      <c r="AQ14" s="3">
        <v>70</v>
      </c>
      <c r="AR14" s="3">
        <v>70</v>
      </c>
      <c r="AS14" s="3">
        <v>70</v>
      </c>
      <c r="AT14" s="3">
        <v>70</v>
      </c>
      <c r="AU14" s="3">
        <v>60</v>
      </c>
      <c r="AV14" s="3">
        <v>60</v>
      </c>
      <c r="AW14" s="3">
        <v>60</v>
      </c>
      <c r="AX14" s="3">
        <v>70</v>
      </c>
      <c r="AY14" s="3">
        <v>70</v>
      </c>
      <c r="AZ14" s="3">
        <v>70</v>
      </c>
      <c r="BA14" s="3"/>
      <c r="BB14" s="13">
        <f t="shared" si="1"/>
        <v>0</v>
      </c>
      <c r="BC14" s="13">
        <f t="shared" si="2"/>
        <v>0</v>
      </c>
      <c r="BD14" s="13">
        <f t="shared" si="3"/>
        <v>0</v>
      </c>
      <c r="BE14" s="13">
        <f t="shared" si="4"/>
        <v>0</v>
      </c>
      <c r="BF14" s="13">
        <f t="shared" si="5"/>
        <v>0</v>
      </c>
      <c r="BG14" s="13">
        <f t="shared" si="6"/>
        <v>0</v>
      </c>
      <c r="BH14" s="13">
        <f t="shared" si="7"/>
        <v>722.865</v>
      </c>
      <c r="BI14" s="13">
        <f t="shared" si="8"/>
        <v>1040.9256</v>
      </c>
      <c r="BJ14" s="13">
        <f t="shared" si="9"/>
        <v>1127.6694000000002</v>
      </c>
      <c r="BK14" s="13">
        <f t="shared" si="12"/>
        <v>1104.0120000000002</v>
      </c>
      <c r="BL14" s="13">
        <f t="shared" si="10"/>
        <v>966.0104999999999</v>
      </c>
      <c r="BM14" s="13">
        <f t="shared" si="11"/>
        <v>690.0075</v>
      </c>
    </row>
    <row r="15" spans="1:65" ht="15.75">
      <c r="A15" s="3" t="s">
        <v>27</v>
      </c>
      <c r="B15" s="3"/>
      <c r="C15" s="10">
        <f t="shared" si="13"/>
        <v>0</v>
      </c>
      <c r="D15" s="10">
        <f t="shared" si="14"/>
        <v>0</v>
      </c>
      <c r="E15" s="10">
        <f t="shared" si="15"/>
        <v>0</v>
      </c>
      <c r="F15" s="10">
        <f t="shared" si="16"/>
        <v>0</v>
      </c>
      <c r="G15" s="10">
        <f t="shared" si="17"/>
        <v>0</v>
      </c>
      <c r="H15" s="10">
        <f t="shared" si="18"/>
        <v>0</v>
      </c>
      <c r="I15" s="10">
        <f t="shared" si="19"/>
        <v>0</v>
      </c>
      <c r="J15" s="10">
        <f t="shared" si="20"/>
        <v>0</v>
      </c>
      <c r="K15" s="10">
        <f t="shared" si="21"/>
        <v>0</v>
      </c>
      <c r="L15" s="10">
        <f t="shared" si="22"/>
        <v>0</v>
      </c>
      <c r="M15" s="10">
        <f t="shared" si="23"/>
        <v>0</v>
      </c>
      <c r="N15" s="10">
        <f t="shared" si="24"/>
        <v>0</v>
      </c>
      <c r="O15" s="11"/>
      <c r="P15" s="12">
        <f>+$O$15*C15</f>
        <v>0</v>
      </c>
      <c r="Q15" s="12">
        <f>+$O$15*D15</f>
        <v>0</v>
      </c>
      <c r="R15" s="12">
        <f>+$O$15*E15</f>
        <v>0</v>
      </c>
      <c r="S15" s="12">
        <f>+$O$15*F15</f>
        <v>0</v>
      </c>
      <c r="T15" s="12">
        <f>+$O$15*G15</f>
        <v>0</v>
      </c>
      <c r="U15" s="12">
        <f>+$O$15*H15</f>
        <v>0</v>
      </c>
      <c r="V15" s="12">
        <f>+$O$15*I15</f>
        <v>0</v>
      </c>
      <c r="W15" s="12">
        <f>+$O$15*J15</f>
        <v>0</v>
      </c>
      <c r="X15" s="12">
        <f>+$O$15*K15</f>
        <v>0</v>
      </c>
      <c r="Y15" s="12">
        <f>+$O$15*L15</f>
        <v>0</v>
      </c>
      <c r="Z15" s="12">
        <f>+$O$15*M15</f>
        <v>0</v>
      </c>
      <c r="AA15" s="12">
        <f>+$O$15*N15</f>
        <v>0</v>
      </c>
      <c r="AB15" s="13">
        <f>13661*0.12*0.41</f>
        <v>672.1211999999999</v>
      </c>
      <c r="AC15" s="13">
        <f>13661*0.12*0.32</f>
        <v>524.5824</v>
      </c>
      <c r="AD15" s="13">
        <f>13661*0.12*0.27</f>
        <v>442.6164</v>
      </c>
      <c r="AE15" s="13">
        <f>13661*0.15*0.3333333</f>
        <v>683.049931695</v>
      </c>
      <c r="AF15" s="13">
        <f>13661*0.15*0.3333333</f>
        <v>683.049931695</v>
      </c>
      <c r="AG15" s="13">
        <f>13661*0.15*0.3333333</f>
        <v>683.049931695</v>
      </c>
      <c r="AH15" s="13">
        <f>13661*0.45*0.25</f>
        <v>1536.8625</v>
      </c>
      <c r="AI15" s="13">
        <f>13661*0.45*0.36</f>
        <v>2213.082</v>
      </c>
      <c r="AJ15" s="13">
        <f>13661*0.45*0.39</f>
        <v>2397.5055</v>
      </c>
      <c r="AK15" s="13">
        <f>13661*0.28*0.4</f>
        <v>1530.0320000000002</v>
      </c>
      <c r="AL15" s="13">
        <f>13661*0.28*0.35</f>
        <v>1338.778</v>
      </c>
      <c r="AM15" s="13">
        <f>13661*0.28*0.25</f>
        <v>956.2700000000001</v>
      </c>
      <c r="AN15" s="14">
        <f t="shared" si="0"/>
        <v>13660.999795085001</v>
      </c>
      <c r="AO15" s="3">
        <v>70</v>
      </c>
      <c r="AP15" s="3">
        <v>70</v>
      </c>
      <c r="AQ15" s="3">
        <v>70</v>
      </c>
      <c r="AR15" s="3">
        <v>70</v>
      </c>
      <c r="AS15" s="3">
        <v>70</v>
      </c>
      <c r="AT15" s="3">
        <v>70</v>
      </c>
      <c r="AU15" s="3">
        <v>60</v>
      </c>
      <c r="AV15" s="3">
        <v>60</v>
      </c>
      <c r="AW15" s="3">
        <v>60</v>
      </c>
      <c r="AX15" s="3">
        <v>70</v>
      </c>
      <c r="AY15" s="3">
        <v>70</v>
      </c>
      <c r="AZ15" s="3">
        <v>70</v>
      </c>
      <c r="BA15" s="3"/>
      <c r="BB15" s="13">
        <f t="shared" si="1"/>
        <v>470.48483999999996</v>
      </c>
      <c r="BC15" s="13">
        <f t="shared" si="2"/>
        <v>367.20768000000004</v>
      </c>
      <c r="BD15" s="13">
        <f t="shared" si="3"/>
        <v>309.83148</v>
      </c>
      <c r="BE15" s="13">
        <f t="shared" si="4"/>
        <v>478.1349521865</v>
      </c>
      <c r="BF15" s="13">
        <f t="shared" si="5"/>
        <v>478.1349521865</v>
      </c>
      <c r="BG15" s="13">
        <f t="shared" si="6"/>
        <v>478.1349521865</v>
      </c>
      <c r="BH15" s="13">
        <f t="shared" si="7"/>
        <v>922.1175</v>
      </c>
      <c r="BI15" s="13">
        <f t="shared" si="8"/>
        <v>1327.8491999999999</v>
      </c>
      <c r="BJ15" s="13">
        <f t="shared" si="9"/>
        <v>1438.5033</v>
      </c>
      <c r="BK15" s="13">
        <f t="shared" si="12"/>
        <v>1071.0224</v>
      </c>
      <c r="BL15" s="13">
        <f t="shared" si="10"/>
        <v>937.1446000000001</v>
      </c>
      <c r="BM15" s="13">
        <f t="shared" si="11"/>
        <v>669.3890000000001</v>
      </c>
    </row>
    <row r="16" spans="1:65" ht="15.75">
      <c r="A16" s="3" t="s">
        <v>28</v>
      </c>
      <c r="B16" s="3"/>
      <c r="C16" s="10">
        <f t="shared" si="13"/>
        <v>0</v>
      </c>
      <c r="D16" s="10">
        <f t="shared" si="14"/>
        <v>0</v>
      </c>
      <c r="E16" s="10">
        <f t="shared" si="15"/>
        <v>0</v>
      </c>
      <c r="F16" s="10">
        <f t="shared" si="16"/>
        <v>0</v>
      </c>
      <c r="G16" s="10">
        <f t="shared" si="17"/>
        <v>0</v>
      </c>
      <c r="H16" s="10">
        <f t="shared" si="18"/>
        <v>0</v>
      </c>
      <c r="I16" s="10">
        <f t="shared" si="19"/>
        <v>0</v>
      </c>
      <c r="J16" s="10">
        <f t="shared" si="20"/>
        <v>0</v>
      </c>
      <c r="K16" s="10">
        <f t="shared" si="21"/>
        <v>0</v>
      </c>
      <c r="L16" s="10">
        <f t="shared" si="22"/>
        <v>0</v>
      </c>
      <c r="M16" s="10">
        <f t="shared" si="23"/>
        <v>0</v>
      </c>
      <c r="N16" s="10">
        <f t="shared" si="24"/>
        <v>0</v>
      </c>
      <c r="O16" s="11"/>
      <c r="P16" s="12">
        <f>+$O$16*C16</f>
        <v>0</v>
      </c>
      <c r="Q16" s="12">
        <f>+$O$16*D16</f>
        <v>0</v>
      </c>
      <c r="R16" s="12">
        <f>+$O$16*E16</f>
        <v>0</v>
      </c>
      <c r="S16" s="12">
        <f>+$O$16*F16</f>
        <v>0</v>
      </c>
      <c r="T16" s="12">
        <f>+$O$16*G16</f>
        <v>0</v>
      </c>
      <c r="U16" s="12">
        <f>+$O$16*H16</f>
        <v>0</v>
      </c>
      <c r="V16" s="12">
        <f>+$O$16*I16</f>
        <v>0</v>
      </c>
      <c r="W16" s="12">
        <f>+$O$16*J16</f>
        <v>0</v>
      </c>
      <c r="X16" s="12">
        <f>+$O$16*K16</f>
        <v>0</v>
      </c>
      <c r="Y16" s="12">
        <f>+$O$16*L16</f>
        <v>0</v>
      </c>
      <c r="Z16" s="12">
        <f>+$O$16*M16</f>
        <v>0</v>
      </c>
      <c r="AA16" s="12">
        <f>+$O$16*N16</f>
        <v>0</v>
      </c>
      <c r="AB16" s="13">
        <f>10358*0.12*0.43</f>
        <v>534.4728</v>
      </c>
      <c r="AC16" s="13">
        <f>10358*0.12*0.33</f>
        <v>410.1768</v>
      </c>
      <c r="AD16" s="13">
        <f>10358*0.12*0.24</f>
        <v>298.3104</v>
      </c>
      <c r="AE16" s="13">
        <f>10358*0.15*0.333333</f>
        <v>517.8994821</v>
      </c>
      <c r="AF16" s="13">
        <f>10358*0.15*0.333333</f>
        <v>517.8994821</v>
      </c>
      <c r="AG16" s="13">
        <f>10358*0.15*0.333333</f>
        <v>517.8994821</v>
      </c>
      <c r="AH16" s="13">
        <f>10358*0.45*0.25</f>
        <v>1165.275</v>
      </c>
      <c r="AI16" s="13">
        <f>10358*0.45*0.36</f>
        <v>1677.996</v>
      </c>
      <c r="AJ16" s="13">
        <f>10358*0.45*0.39</f>
        <v>1817.8290000000002</v>
      </c>
      <c r="AK16" s="13">
        <f>10358*0.28*0.4</f>
        <v>1160.0960000000002</v>
      </c>
      <c r="AL16" s="13">
        <f>10358*0.28*0.35</f>
        <v>1015.0840000000001</v>
      </c>
      <c r="AM16" s="13">
        <f>10358*0.28*0.25</f>
        <v>725.0600000000001</v>
      </c>
      <c r="AN16" s="14">
        <f t="shared" si="0"/>
        <v>10357.9984463</v>
      </c>
      <c r="AO16" s="3">
        <v>70</v>
      </c>
      <c r="AP16" s="3">
        <v>70</v>
      </c>
      <c r="AQ16" s="3">
        <v>70</v>
      </c>
      <c r="AR16" s="3">
        <v>70</v>
      </c>
      <c r="AS16" s="3">
        <v>70</v>
      </c>
      <c r="AT16" s="3">
        <v>70</v>
      </c>
      <c r="AU16" s="3">
        <v>60</v>
      </c>
      <c r="AV16" s="3">
        <v>60</v>
      </c>
      <c r="AW16" s="3">
        <v>60</v>
      </c>
      <c r="AX16" s="3">
        <v>70</v>
      </c>
      <c r="AY16" s="3">
        <v>70</v>
      </c>
      <c r="AZ16" s="3">
        <v>70</v>
      </c>
      <c r="BA16" s="3"/>
      <c r="BB16" s="13">
        <f t="shared" si="1"/>
        <v>374.13095999999996</v>
      </c>
      <c r="BC16" s="13">
        <f t="shared" si="2"/>
        <v>287.12376</v>
      </c>
      <c r="BD16" s="13">
        <f t="shared" si="3"/>
        <v>208.81728000000004</v>
      </c>
      <c r="BE16" s="13">
        <f t="shared" si="4"/>
        <v>362.52963747</v>
      </c>
      <c r="BF16" s="13">
        <f t="shared" si="5"/>
        <v>362.52963747</v>
      </c>
      <c r="BG16" s="13">
        <f t="shared" si="6"/>
        <v>362.52963747</v>
      </c>
      <c r="BH16" s="13">
        <f t="shared" si="7"/>
        <v>699.165</v>
      </c>
      <c r="BI16" s="13">
        <f t="shared" si="8"/>
        <v>1006.7976000000001</v>
      </c>
      <c r="BJ16" s="13">
        <f t="shared" si="9"/>
        <v>1090.6974</v>
      </c>
      <c r="BK16" s="13">
        <f t="shared" si="12"/>
        <v>812.0672000000002</v>
      </c>
      <c r="BL16" s="13">
        <f t="shared" si="10"/>
        <v>710.5588</v>
      </c>
      <c r="BM16" s="13">
        <f t="shared" si="11"/>
        <v>507.54200000000003</v>
      </c>
    </row>
    <row r="17" spans="1:65" ht="15.75">
      <c r="A17" s="3" t="s">
        <v>29</v>
      </c>
      <c r="B17" s="3"/>
      <c r="C17" s="10">
        <f t="shared" si="13"/>
        <v>0</v>
      </c>
      <c r="D17" s="10">
        <f t="shared" si="14"/>
        <v>0</v>
      </c>
      <c r="E17" s="10">
        <f t="shared" si="15"/>
        <v>0</v>
      </c>
      <c r="F17" s="10">
        <f t="shared" si="16"/>
        <v>0</v>
      </c>
      <c r="G17" s="10">
        <f t="shared" si="17"/>
        <v>0</v>
      </c>
      <c r="H17" s="10">
        <f t="shared" si="18"/>
        <v>0</v>
      </c>
      <c r="I17" s="10">
        <f t="shared" si="19"/>
        <v>0</v>
      </c>
      <c r="J17" s="10">
        <f t="shared" si="20"/>
        <v>0</v>
      </c>
      <c r="K17" s="10">
        <f t="shared" si="21"/>
        <v>0</v>
      </c>
      <c r="L17" s="10">
        <f t="shared" si="22"/>
        <v>0</v>
      </c>
      <c r="M17" s="10">
        <f t="shared" si="23"/>
        <v>0</v>
      </c>
      <c r="N17" s="10">
        <f t="shared" si="24"/>
        <v>0</v>
      </c>
      <c r="O17" s="11"/>
      <c r="P17" s="12">
        <f>+$O$17*C17</f>
        <v>0</v>
      </c>
      <c r="Q17" s="12">
        <f>+$O$17*D17</f>
        <v>0</v>
      </c>
      <c r="R17" s="12">
        <f>+$O$17*E17</f>
        <v>0</v>
      </c>
      <c r="S17" s="12">
        <f>+$O$17*F17</f>
        <v>0</v>
      </c>
      <c r="T17" s="12">
        <f>+$O$17*G17</f>
        <v>0</v>
      </c>
      <c r="U17" s="12">
        <f>+$O$17*H17</f>
        <v>0</v>
      </c>
      <c r="V17" s="12">
        <f>+$O$17*I17</f>
        <v>0</v>
      </c>
      <c r="W17" s="12">
        <f>+$O$17*J17</f>
        <v>0</v>
      </c>
      <c r="X17" s="12">
        <f>+$O$17*K17</f>
        <v>0</v>
      </c>
      <c r="Y17" s="12">
        <f>+$O$17*L17</f>
        <v>0</v>
      </c>
      <c r="Z17" s="12">
        <f>+$O$17*M17</f>
        <v>0</v>
      </c>
      <c r="AA17" s="12">
        <f>+$O$17*N17</f>
        <v>0</v>
      </c>
      <c r="AB17" s="13">
        <f>8341*0.12*0.45</f>
        <v>450.414</v>
      </c>
      <c r="AC17" s="13">
        <f>8341*0.12*0.35</f>
        <v>350.32199999999995</v>
      </c>
      <c r="AD17" s="13">
        <f>8341*0.12*0.2</f>
        <v>200.184</v>
      </c>
      <c r="AE17" s="13">
        <f>8341*0.15*0.3333333</f>
        <v>417.04995829499995</v>
      </c>
      <c r="AF17" s="13">
        <f>8341*0.15*0.3333333</f>
        <v>417.04995829499995</v>
      </c>
      <c r="AG17" s="13">
        <f>8341*0.15*0.3333333</f>
        <v>417.04995829499995</v>
      </c>
      <c r="AH17" s="13">
        <f>8341*0.45*0.25</f>
        <v>938.3625000000001</v>
      </c>
      <c r="AI17" s="13">
        <f>8341*0.45*0.36</f>
        <v>1351.242</v>
      </c>
      <c r="AJ17" s="13">
        <f>8341*0.45*0.39</f>
        <v>1463.8455000000001</v>
      </c>
      <c r="AK17" s="13">
        <f>8341*0.28*0.4</f>
        <v>934.192</v>
      </c>
      <c r="AL17" s="13">
        <f>8341*0.28*0.35</f>
        <v>817.418</v>
      </c>
      <c r="AM17" s="13">
        <f>8341*0.28*0.25</f>
        <v>583.87</v>
      </c>
      <c r="AN17" s="14">
        <f t="shared" si="0"/>
        <v>8340.999874885</v>
      </c>
      <c r="AO17" s="3">
        <v>70</v>
      </c>
      <c r="AP17" s="3">
        <v>70</v>
      </c>
      <c r="AQ17" s="3">
        <v>70</v>
      </c>
      <c r="AR17" s="3">
        <v>70</v>
      </c>
      <c r="AS17" s="3">
        <v>70</v>
      </c>
      <c r="AT17" s="3">
        <v>70</v>
      </c>
      <c r="AU17" s="3">
        <v>60</v>
      </c>
      <c r="AV17" s="3">
        <v>60</v>
      </c>
      <c r="AW17" s="3">
        <v>60</v>
      </c>
      <c r="AX17" s="3">
        <v>70</v>
      </c>
      <c r="AY17" s="3">
        <v>70</v>
      </c>
      <c r="AZ17" s="3">
        <v>70</v>
      </c>
      <c r="BA17" s="3"/>
      <c r="BB17" s="13">
        <f t="shared" si="1"/>
        <v>315.2898</v>
      </c>
      <c r="BC17" s="13">
        <f t="shared" si="2"/>
        <v>245.22539999999998</v>
      </c>
      <c r="BD17" s="13">
        <f t="shared" si="3"/>
        <v>140.12879999999998</v>
      </c>
      <c r="BE17" s="13">
        <f t="shared" si="4"/>
        <v>291.93497080649996</v>
      </c>
      <c r="BF17" s="13">
        <f t="shared" si="5"/>
        <v>291.93497080649996</v>
      </c>
      <c r="BG17" s="13">
        <f t="shared" si="6"/>
        <v>291.93497080649996</v>
      </c>
      <c r="BH17" s="13">
        <f t="shared" si="7"/>
        <v>563.0175</v>
      </c>
      <c r="BI17" s="13">
        <f t="shared" si="8"/>
        <v>810.7452000000001</v>
      </c>
      <c r="BJ17" s="13">
        <f t="shared" si="9"/>
        <v>878.3073</v>
      </c>
      <c r="BK17" s="13">
        <f t="shared" si="12"/>
        <v>653.9344</v>
      </c>
      <c r="BL17" s="13">
        <f t="shared" si="10"/>
        <v>572.1926</v>
      </c>
      <c r="BM17" s="13">
        <f t="shared" si="11"/>
        <v>408.709</v>
      </c>
    </row>
    <row r="18" spans="1:65" ht="15.75">
      <c r="A18" s="3" t="s">
        <v>30</v>
      </c>
      <c r="B18" s="3"/>
      <c r="C18" s="10">
        <f t="shared" si="13"/>
        <v>0</v>
      </c>
      <c r="D18" s="10">
        <f t="shared" si="14"/>
        <v>0</v>
      </c>
      <c r="E18" s="10">
        <f t="shared" si="15"/>
        <v>0</v>
      </c>
      <c r="F18" s="10">
        <f t="shared" si="16"/>
        <v>0</v>
      </c>
      <c r="G18" s="10">
        <f t="shared" si="17"/>
        <v>0</v>
      </c>
      <c r="H18" s="10">
        <f t="shared" si="18"/>
        <v>0</v>
      </c>
      <c r="I18" s="10">
        <f t="shared" si="19"/>
        <v>0</v>
      </c>
      <c r="J18" s="10"/>
      <c r="K18" s="10">
        <f t="shared" si="21"/>
        <v>0</v>
      </c>
      <c r="L18" s="10">
        <f t="shared" si="22"/>
        <v>0</v>
      </c>
      <c r="M18" s="10">
        <f t="shared" si="23"/>
        <v>0</v>
      </c>
      <c r="N18" s="10">
        <f t="shared" si="24"/>
        <v>0</v>
      </c>
      <c r="O18" s="11"/>
      <c r="P18" s="12">
        <f aca="true" t="shared" si="25" ref="P18:P19">+$O$18*C18</f>
        <v>0</v>
      </c>
      <c r="Q18" s="12">
        <f aca="true" t="shared" si="26" ref="Q18:Q19">+$O$18*D18</f>
        <v>0</v>
      </c>
      <c r="R18" s="12">
        <f aca="true" t="shared" si="27" ref="R18:R19">+$O$18*E18</f>
        <v>0</v>
      </c>
      <c r="S18" s="12">
        <f aca="true" t="shared" si="28" ref="S18:S19">+$O$18*F18</f>
        <v>0</v>
      </c>
      <c r="T18" s="12">
        <f aca="true" t="shared" si="29" ref="T18:T19">+$O$18*G18</f>
        <v>0</v>
      </c>
      <c r="U18" s="12">
        <f aca="true" t="shared" si="30" ref="U18:U19">+$O$18*H18</f>
        <v>0</v>
      </c>
      <c r="V18" s="12">
        <f aca="true" t="shared" si="31" ref="V18:V19">+$O$18*I18</f>
        <v>0</v>
      </c>
      <c r="W18" s="12">
        <f aca="true" t="shared" si="32" ref="W18:W19">+$O$18*J18</f>
        <v>0</v>
      </c>
      <c r="X18" s="12">
        <f aca="true" t="shared" si="33" ref="X18:X19">+$O$18*K18</f>
        <v>0</v>
      </c>
      <c r="Y18" s="12">
        <f aca="true" t="shared" si="34" ref="Y18:Y19">+$O$18*L18</f>
        <v>0</v>
      </c>
      <c r="Z18" s="12">
        <f aca="true" t="shared" si="35" ref="Z18:Z19">+$O$18*M18</f>
        <v>0</v>
      </c>
      <c r="AA18" s="12">
        <f aca="true" t="shared" si="36" ref="AA18:AA19">+$O$18*N18</f>
        <v>0</v>
      </c>
      <c r="AB18" s="13"/>
      <c r="AC18" s="13">
        <f>4500*0.32*0.5</f>
        <v>720</v>
      </c>
      <c r="AD18" s="13">
        <f>4500*0.32*0.5</f>
        <v>720</v>
      </c>
      <c r="AE18" s="13">
        <f>4500*0.44*0.28</f>
        <v>554.4000000000001</v>
      </c>
      <c r="AF18" s="13">
        <f>4500*0.44*0.29</f>
        <v>574.1999999999999</v>
      </c>
      <c r="AG18" s="13">
        <f>4500*0.44*0.43</f>
        <v>851.4</v>
      </c>
      <c r="AH18" s="13">
        <f>4500*0.24*0.64</f>
        <v>691.2</v>
      </c>
      <c r="AI18" s="13">
        <f>4500*0.24*0.36</f>
        <v>388.8</v>
      </c>
      <c r="AJ18" s="13"/>
      <c r="AK18" s="13"/>
      <c r="AL18" s="13"/>
      <c r="AM18" s="13"/>
      <c r="AN18" s="14">
        <f t="shared" si="0"/>
        <v>4500</v>
      </c>
      <c r="AO18" s="3">
        <v>70</v>
      </c>
      <c r="AP18" s="3">
        <v>70</v>
      </c>
      <c r="AQ18" s="3">
        <v>70</v>
      </c>
      <c r="AR18" s="3">
        <v>70</v>
      </c>
      <c r="AS18" s="3">
        <v>70</v>
      </c>
      <c r="AT18" s="3">
        <v>70</v>
      </c>
      <c r="AU18" s="3">
        <v>60</v>
      </c>
      <c r="AV18" s="3">
        <v>60</v>
      </c>
      <c r="AW18" s="3">
        <v>60</v>
      </c>
      <c r="AX18" s="3"/>
      <c r="AY18" s="3"/>
      <c r="AZ18" s="3"/>
      <c r="BA18" s="3"/>
      <c r="BB18" s="13">
        <f t="shared" si="1"/>
        <v>0</v>
      </c>
      <c r="BC18" s="13">
        <f t="shared" si="2"/>
        <v>504</v>
      </c>
      <c r="BD18" s="13">
        <f t="shared" si="3"/>
        <v>504</v>
      </c>
      <c r="BE18" s="13">
        <f t="shared" si="4"/>
        <v>388.0800000000001</v>
      </c>
      <c r="BF18" s="13">
        <f t="shared" si="5"/>
        <v>401.93999999999994</v>
      </c>
      <c r="BG18" s="13">
        <f t="shared" si="6"/>
        <v>595.98</v>
      </c>
      <c r="BH18" s="13">
        <f t="shared" si="7"/>
        <v>414.72</v>
      </c>
      <c r="BI18" s="13">
        <f t="shared" si="8"/>
        <v>233.28</v>
      </c>
      <c r="BJ18" s="13">
        <f t="shared" si="9"/>
        <v>0</v>
      </c>
      <c r="BK18" s="13">
        <f t="shared" si="12"/>
        <v>0</v>
      </c>
      <c r="BL18" s="13">
        <f t="shared" si="10"/>
        <v>0</v>
      </c>
      <c r="BM18" s="13">
        <f t="shared" si="11"/>
        <v>0</v>
      </c>
    </row>
    <row r="19" spans="1:65" ht="15.75">
      <c r="A19" s="3" t="s">
        <v>31</v>
      </c>
      <c r="B19" s="3"/>
      <c r="C19" s="10">
        <f t="shared" si="13"/>
        <v>0</v>
      </c>
      <c r="D19" s="10">
        <f t="shared" si="14"/>
        <v>0</v>
      </c>
      <c r="E19" s="10">
        <f t="shared" si="15"/>
        <v>0</v>
      </c>
      <c r="F19" s="10">
        <f t="shared" si="16"/>
        <v>0</v>
      </c>
      <c r="G19" s="10">
        <f t="shared" si="17"/>
        <v>0</v>
      </c>
      <c r="H19" s="10">
        <f t="shared" si="18"/>
        <v>0</v>
      </c>
      <c r="I19" s="10">
        <f t="shared" si="19"/>
        <v>0</v>
      </c>
      <c r="J19" s="10">
        <f aca="true" t="shared" si="37" ref="J19:J20">+$B19*BI19</f>
        <v>0</v>
      </c>
      <c r="K19" s="10">
        <f t="shared" si="21"/>
        <v>0</v>
      </c>
      <c r="L19" s="10">
        <f t="shared" si="22"/>
        <v>0</v>
      </c>
      <c r="M19" s="10">
        <f t="shared" si="23"/>
        <v>0</v>
      </c>
      <c r="N19" s="10">
        <f t="shared" si="24"/>
        <v>0</v>
      </c>
      <c r="O19" s="11"/>
      <c r="P19" s="12">
        <f t="shared" si="25"/>
        <v>0</v>
      </c>
      <c r="Q19" s="12">
        <f t="shared" si="26"/>
        <v>0</v>
      </c>
      <c r="R19" s="12">
        <f t="shared" si="27"/>
        <v>0</v>
      </c>
      <c r="S19" s="12">
        <f t="shared" si="28"/>
        <v>0</v>
      </c>
      <c r="T19" s="12">
        <f t="shared" si="29"/>
        <v>0</v>
      </c>
      <c r="U19" s="12">
        <f t="shared" si="30"/>
        <v>0</v>
      </c>
      <c r="V19" s="12">
        <f t="shared" si="31"/>
        <v>0</v>
      </c>
      <c r="W19" s="12">
        <f t="shared" si="32"/>
        <v>0</v>
      </c>
      <c r="X19" s="12">
        <f t="shared" si="33"/>
        <v>0</v>
      </c>
      <c r="Y19" s="12">
        <f t="shared" si="34"/>
        <v>0</v>
      </c>
      <c r="Z19" s="12">
        <f t="shared" si="35"/>
        <v>0</v>
      </c>
      <c r="AA19" s="12">
        <f t="shared" si="36"/>
        <v>0</v>
      </c>
      <c r="AB19" s="15"/>
      <c r="AC19" s="15">
        <v>600</v>
      </c>
      <c r="AD19" s="15">
        <v>600</v>
      </c>
      <c r="AE19" s="15">
        <v>750</v>
      </c>
      <c r="AF19" s="15">
        <v>800</v>
      </c>
      <c r="AG19" s="15">
        <v>1200</v>
      </c>
      <c r="AH19" s="15">
        <v>1600</v>
      </c>
      <c r="AI19" s="15">
        <v>1300</v>
      </c>
      <c r="AJ19" s="13"/>
      <c r="AK19" s="13"/>
      <c r="AL19" s="13"/>
      <c r="AM19" s="13"/>
      <c r="AN19" s="14">
        <f t="shared" si="0"/>
        <v>6850</v>
      </c>
      <c r="AO19" s="3">
        <v>70</v>
      </c>
      <c r="AP19" s="3">
        <v>70</v>
      </c>
      <c r="AQ19" s="3">
        <v>70</v>
      </c>
      <c r="AR19" s="3">
        <v>70</v>
      </c>
      <c r="AS19" s="3">
        <v>70</v>
      </c>
      <c r="AT19" s="3">
        <v>70</v>
      </c>
      <c r="AU19" s="3">
        <v>60</v>
      </c>
      <c r="AV19" s="3">
        <v>60</v>
      </c>
      <c r="AW19" s="3">
        <v>60</v>
      </c>
      <c r="AX19" s="3"/>
      <c r="AY19" s="3"/>
      <c r="AZ19" s="3"/>
      <c r="BA19" s="3"/>
      <c r="BB19" s="13">
        <f t="shared" si="1"/>
        <v>0</v>
      </c>
      <c r="BC19" s="13">
        <f t="shared" si="2"/>
        <v>420</v>
      </c>
      <c r="BD19" s="13">
        <f t="shared" si="3"/>
        <v>420</v>
      </c>
      <c r="BE19" s="13">
        <f t="shared" si="4"/>
        <v>525</v>
      </c>
      <c r="BF19" s="13">
        <f t="shared" si="5"/>
        <v>560</v>
      </c>
      <c r="BG19" s="13">
        <f t="shared" si="6"/>
        <v>840</v>
      </c>
      <c r="BH19" s="13">
        <f t="shared" si="7"/>
        <v>960</v>
      </c>
      <c r="BI19" s="13">
        <f t="shared" si="8"/>
        <v>780</v>
      </c>
      <c r="BJ19" s="13">
        <f t="shared" si="9"/>
        <v>0</v>
      </c>
      <c r="BK19" s="13">
        <f t="shared" si="12"/>
        <v>0</v>
      </c>
      <c r="BL19" s="13">
        <f t="shared" si="10"/>
        <v>0</v>
      </c>
      <c r="BM19" s="13">
        <f t="shared" si="11"/>
        <v>0</v>
      </c>
    </row>
    <row r="20" spans="1:65" ht="15.75">
      <c r="A20" s="3" t="s">
        <v>32</v>
      </c>
      <c r="B20" s="3"/>
      <c r="C20" s="10">
        <f t="shared" si="13"/>
        <v>0</v>
      </c>
      <c r="D20" s="10">
        <f t="shared" si="14"/>
        <v>0</v>
      </c>
      <c r="E20" s="10">
        <f t="shared" si="15"/>
        <v>0</v>
      </c>
      <c r="F20" s="10">
        <f t="shared" si="16"/>
        <v>0</v>
      </c>
      <c r="G20" s="10">
        <f t="shared" si="17"/>
        <v>0</v>
      </c>
      <c r="H20" s="10">
        <f t="shared" si="18"/>
        <v>0</v>
      </c>
      <c r="I20" s="10">
        <f t="shared" si="19"/>
        <v>0</v>
      </c>
      <c r="J20" s="10">
        <f t="shared" si="37"/>
        <v>0</v>
      </c>
      <c r="K20" s="10">
        <f t="shared" si="21"/>
        <v>0</v>
      </c>
      <c r="L20" s="10">
        <f t="shared" si="22"/>
        <v>0</v>
      </c>
      <c r="M20" s="10">
        <f t="shared" si="23"/>
        <v>0</v>
      </c>
      <c r="N20" s="10">
        <f t="shared" si="24"/>
        <v>0</v>
      </c>
      <c r="O20" s="11"/>
      <c r="P20" s="12">
        <f>+$O$20*C20</f>
        <v>0</v>
      </c>
      <c r="Q20" s="12">
        <f>+$O$20*D20</f>
        <v>0</v>
      </c>
      <c r="R20" s="12">
        <f>+$O$20*E20</f>
        <v>0</v>
      </c>
      <c r="S20" s="12">
        <f>+$O$20*F20</f>
        <v>0</v>
      </c>
      <c r="T20" s="12">
        <f>+$O$20*G20</f>
        <v>0</v>
      </c>
      <c r="U20" s="12">
        <f>+$O$20*H20</f>
        <v>0</v>
      </c>
      <c r="V20" s="12">
        <f>+$O$20*I20</f>
        <v>0</v>
      </c>
      <c r="W20" s="12">
        <f>+$O$20*J20</f>
        <v>0</v>
      </c>
      <c r="X20" s="12">
        <f>+$O$20*K20</f>
        <v>0</v>
      </c>
      <c r="Y20" s="12">
        <f>+$O$20*L20</f>
        <v>0</v>
      </c>
      <c r="Z20" s="12">
        <f>+$O$20*M20</f>
        <v>0</v>
      </c>
      <c r="AA20" s="12">
        <f>+$O$20*N20</f>
        <v>0</v>
      </c>
      <c r="AB20" s="13"/>
      <c r="AC20" s="13"/>
      <c r="AD20" s="13"/>
      <c r="AE20" s="13">
        <f>2380*0.3333333</f>
        <v>793.333254</v>
      </c>
      <c r="AF20" s="13">
        <f>2380*0.3333333</f>
        <v>793.333254</v>
      </c>
      <c r="AG20" s="13">
        <f>2380*0.3333333</f>
        <v>793.333254</v>
      </c>
      <c r="AH20" s="13">
        <f>4570*0.25</f>
        <v>1142.5</v>
      </c>
      <c r="AI20" s="13">
        <f>4570*0.5</f>
        <v>2285</v>
      </c>
      <c r="AJ20" s="13">
        <f>4570*0.25</f>
        <v>1142.5</v>
      </c>
      <c r="AK20" s="13"/>
      <c r="AL20" s="13"/>
      <c r="AM20" s="13"/>
      <c r="AN20" s="14">
        <f t="shared" si="0"/>
        <v>6949.999762</v>
      </c>
      <c r="AO20" s="3">
        <v>70</v>
      </c>
      <c r="AP20" s="3">
        <v>70</v>
      </c>
      <c r="AQ20" s="3">
        <v>70</v>
      </c>
      <c r="AR20" s="3">
        <v>70</v>
      </c>
      <c r="AS20" s="3">
        <v>70</v>
      </c>
      <c r="AT20" s="3">
        <v>70</v>
      </c>
      <c r="AU20" s="3">
        <v>60</v>
      </c>
      <c r="AV20" s="3">
        <v>60</v>
      </c>
      <c r="AW20" s="3">
        <v>60</v>
      </c>
      <c r="AX20" s="3"/>
      <c r="AY20" s="3"/>
      <c r="AZ20" s="3"/>
      <c r="BA20" s="3"/>
      <c r="BB20" s="13">
        <f t="shared" si="1"/>
        <v>0</v>
      </c>
      <c r="BC20" s="13">
        <f t="shared" si="2"/>
        <v>0</v>
      </c>
      <c r="BD20" s="13">
        <f t="shared" si="3"/>
        <v>0</v>
      </c>
      <c r="BE20" s="13">
        <f t="shared" si="4"/>
        <v>555.3332778</v>
      </c>
      <c r="BF20" s="13">
        <f t="shared" si="5"/>
        <v>555.3332778</v>
      </c>
      <c r="BG20" s="13">
        <f t="shared" si="6"/>
        <v>555.3332778</v>
      </c>
      <c r="BH20" s="13">
        <f t="shared" si="7"/>
        <v>685.5</v>
      </c>
      <c r="BI20" s="13">
        <f t="shared" si="8"/>
        <v>1371</v>
      </c>
      <c r="BJ20" s="13">
        <f t="shared" si="9"/>
        <v>685.5</v>
      </c>
      <c r="BK20" s="13">
        <f t="shared" si="12"/>
        <v>0</v>
      </c>
      <c r="BL20" s="13">
        <f t="shared" si="10"/>
        <v>0</v>
      </c>
      <c r="BM20" s="13">
        <f t="shared" si="11"/>
        <v>0</v>
      </c>
    </row>
    <row r="21" spans="1:65" ht="15.75">
      <c r="A21" s="3" t="s">
        <v>33</v>
      </c>
      <c r="B21" s="3"/>
      <c r="C21" s="10">
        <f t="shared" si="13"/>
        <v>0</v>
      </c>
      <c r="D21" s="10">
        <f t="shared" si="14"/>
        <v>0</v>
      </c>
      <c r="E21" s="10">
        <f t="shared" si="15"/>
        <v>0</v>
      </c>
      <c r="F21" s="10">
        <f t="shared" si="16"/>
        <v>0</v>
      </c>
      <c r="G21" s="10">
        <f t="shared" si="17"/>
        <v>0</v>
      </c>
      <c r="H21" s="10">
        <f t="shared" si="18"/>
        <v>0</v>
      </c>
      <c r="I21" s="10">
        <f t="shared" si="19"/>
        <v>0</v>
      </c>
      <c r="J21" s="10"/>
      <c r="K21" s="10">
        <f t="shared" si="21"/>
        <v>0</v>
      </c>
      <c r="L21" s="10">
        <f t="shared" si="22"/>
        <v>0</v>
      </c>
      <c r="M21" s="10">
        <f t="shared" si="23"/>
        <v>0</v>
      </c>
      <c r="N21" s="10">
        <f t="shared" si="24"/>
        <v>0</v>
      </c>
      <c r="O21" s="11"/>
      <c r="P21" s="12">
        <f aca="true" t="shared" si="38" ref="P21:P22">+$O$21*C21</f>
        <v>0</v>
      </c>
      <c r="Q21" s="12">
        <f aca="true" t="shared" si="39" ref="Q21:Q22">+$O$21*D21</f>
        <v>0</v>
      </c>
      <c r="R21" s="12">
        <f aca="true" t="shared" si="40" ref="R21:R22">+$O$21*E21</f>
        <v>0</v>
      </c>
      <c r="S21" s="12">
        <f aca="true" t="shared" si="41" ref="S21:S22">+$O$21*F21</f>
        <v>0</v>
      </c>
      <c r="T21" s="12">
        <f aca="true" t="shared" si="42" ref="T21:T22">+$O$21*G21</f>
        <v>0</v>
      </c>
      <c r="U21" s="12">
        <f aca="true" t="shared" si="43" ref="U21:U22">+$O$21*H21</f>
        <v>0</v>
      </c>
      <c r="V21" s="12">
        <f aca="true" t="shared" si="44" ref="V21:V22">+$O$21*I21</f>
        <v>0</v>
      </c>
      <c r="W21" s="12">
        <f aca="true" t="shared" si="45" ref="W21:W22">+$O$21*J21</f>
        <v>0</v>
      </c>
      <c r="X21" s="12">
        <f aca="true" t="shared" si="46" ref="X21:X22">+$O$21*K21</f>
        <v>0</v>
      </c>
      <c r="Y21" s="12">
        <f aca="true" t="shared" si="47" ref="Y21:Y22">+$O$21*L21</f>
        <v>0</v>
      </c>
      <c r="Z21" s="12">
        <f aca="true" t="shared" si="48" ref="Z21:Z22">+$O$21*M21</f>
        <v>0</v>
      </c>
      <c r="AA21" s="12">
        <f aca="true" t="shared" si="49" ref="AA21:AA22">+$O$21*N21</f>
        <v>0</v>
      </c>
      <c r="AB21" s="13"/>
      <c r="AC21" s="13"/>
      <c r="AD21" s="13">
        <f>7000*0.18</f>
        <v>1260</v>
      </c>
      <c r="AE21" s="13">
        <f aca="true" t="shared" si="50" ref="AE21:AE22">7000*0.4*0.28</f>
        <v>784.0000000000001</v>
      </c>
      <c r="AF21" s="13">
        <f aca="true" t="shared" si="51" ref="AF21:AF22">7000*0.4*0.29</f>
        <v>812</v>
      </c>
      <c r="AG21" s="13">
        <f>7000*0.4*0.43</f>
        <v>1204</v>
      </c>
      <c r="AH21" s="13">
        <f aca="true" t="shared" si="52" ref="AH21:AH22">7000*0.42*0.56</f>
        <v>1646.4</v>
      </c>
      <c r="AI21" s="13">
        <f>7000*0.42*0.44</f>
        <v>1293.6</v>
      </c>
      <c r="AJ21" s="13"/>
      <c r="AK21" s="13"/>
      <c r="AL21" s="13"/>
      <c r="AM21" s="13"/>
      <c r="AN21" s="14">
        <f t="shared" si="0"/>
        <v>7000</v>
      </c>
      <c r="AO21" s="3">
        <v>70</v>
      </c>
      <c r="AP21" s="3">
        <v>70</v>
      </c>
      <c r="AQ21" s="3">
        <v>70</v>
      </c>
      <c r="AR21" s="3">
        <v>70</v>
      </c>
      <c r="AS21" s="3">
        <v>70</v>
      </c>
      <c r="AT21" s="3">
        <v>70</v>
      </c>
      <c r="AU21" s="3">
        <v>60</v>
      </c>
      <c r="AV21" s="3">
        <v>60</v>
      </c>
      <c r="AW21" s="3">
        <v>60</v>
      </c>
      <c r="AX21" s="3"/>
      <c r="AY21" s="3"/>
      <c r="AZ21" s="3"/>
      <c r="BA21" s="3"/>
      <c r="BB21" s="13">
        <f t="shared" si="1"/>
        <v>0</v>
      </c>
      <c r="BC21" s="13">
        <f t="shared" si="2"/>
        <v>0</v>
      </c>
      <c r="BD21" s="13">
        <f t="shared" si="3"/>
        <v>882</v>
      </c>
      <c r="BE21" s="13">
        <f t="shared" si="4"/>
        <v>548.8000000000001</v>
      </c>
      <c r="BF21" s="13">
        <f t="shared" si="5"/>
        <v>568.4</v>
      </c>
      <c r="BG21" s="13">
        <f t="shared" si="6"/>
        <v>842.8</v>
      </c>
      <c r="BH21" s="13">
        <f t="shared" si="7"/>
        <v>987.84</v>
      </c>
      <c r="BI21" s="13">
        <f t="shared" si="8"/>
        <v>776.16</v>
      </c>
      <c r="BJ21" s="13">
        <f t="shared" si="9"/>
        <v>0</v>
      </c>
      <c r="BK21" s="13">
        <f t="shared" si="12"/>
        <v>0</v>
      </c>
      <c r="BL21" s="13">
        <f t="shared" si="10"/>
        <v>0</v>
      </c>
      <c r="BM21" s="13">
        <f t="shared" si="11"/>
        <v>0</v>
      </c>
    </row>
    <row r="22" spans="1:65" ht="15.75">
      <c r="A22" s="3" t="s">
        <v>34</v>
      </c>
      <c r="B22" s="3"/>
      <c r="C22" s="10">
        <f t="shared" si="13"/>
        <v>0</v>
      </c>
      <c r="D22" s="10">
        <f t="shared" si="14"/>
        <v>0</v>
      </c>
      <c r="E22" s="10">
        <f t="shared" si="15"/>
        <v>0</v>
      </c>
      <c r="F22" s="10">
        <f t="shared" si="16"/>
        <v>0</v>
      </c>
      <c r="G22" s="10">
        <f t="shared" si="17"/>
        <v>0</v>
      </c>
      <c r="H22" s="10">
        <f t="shared" si="18"/>
        <v>0</v>
      </c>
      <c r="I22" s="10">
        <f t="shared" si="19"/>
        <v>0</v>
      </c>
      <c r="J22" s="10">
        <f aca="true" t="shared" si="53" ref="J22:J65">+$B22*BI22</f>
        <v>0</v>
      </c>
      <c r="K22" s="10">
        <f t="shared" si="21"/>
        <v>0</v>
      </c>
      <c r="L22" s="10">
        <f t="shared" si="22"/>
        <v>0</v>
      </c>
      <c r="M22" s="10">
        <f t="shared" si="23"/>
        <v>0</v>
      </c>
      <c r="N22" s="10">
        <f t="shared" si="24"/>
        <v>0</v>
      </c>
      <c r="O22" s="11"/>
      <c r="P22" s="12">
        <f t="shared" si="38"/>
        <v>0</v>
      </c>
      <c r="Q22" s="12">
        <f t="shared" si="39"/>
        <v>0</v>
      </c>
      <c r="R22" s="12">
        <f t="shared" si="40"/>
        <v>0</v>
      </c>
      <c r="S22" s="12">
        <f t="shared" si="41"/>
        <v>0</v>
      </c>
      <c r="T22" s="12">
        <f t="shared" si="42"/>
        <v>0</v>
      </c>
      <c r="U22" s="12">
        <f t="shared" si="43"/>
        <v>0</v>
      </c>
      <c r="V22" s="12">
        <f t="shared" si="44"/>
        <v>0</v>
      </c>
      <c r="W22" s="12">
        <f t="shared" si="45"/>
        <v>0</v>
      </c>
      <c r="X22" s="12">
        <f t="shared" si="46"/>
        <v>0</v>
      </c>
      <c r="Y22" s="12">
        <f t="shared" si="47"/>
        <v>0</v>
      </c>
      <c r="Z22" s="12">
        <f t="shared" si="48"/>
        <v>0</v>
      </c>
      <c r="AA22" s="12">
        <f t="shared" si="49"/>
        <v>0</v>
      </c>
      <c r="AB22" s="13"/>
      <c r="AC22" s="13"/>
      <c r="AD22" s="13">
        <v>1000</v>
      </c>
      <c r="AE22" s="13">
        <f t="shared" si="50"/>
        <v>784.0000000000001</v>
      </c>
      <c r="AF22" s="13">
        <f t="shared" si="51"/>
        <v>812</v>
      </c>
      <c r="AG22" s="13">
        <v>1454</v>
      </c>
      <c r="AH22" s="13">
        <f t="shared" si="52"/>
        <v>1646.4</v>
      </c>
      <c r="AI22" s="13">
        <v>1654</v>
      </c>
      <c r="AJ22" s="13">
        <v>1800</v>
      </c>
      <c r="AK22" s="13">
        <v>700</v>
      </c>
      <c r="AL22" s="13"/>
      <c r="AM22" s="13"/>
      <c r="AN22" s="14">
        <f t="shared" si="0"/>
        <v>9850.4</v>
      </c>
      <c r="AO22" s="3">
        <v>70</v>
      </c>
      <c r="AP22" s="3">
        <v>70</v>
      </c>
      <c r="AQ22" s="3">
        <v>70</v>
      </c>
      <c r="AR22" s="3">
        <v>70</v>
      </c>
      <c r="AS22" s="3">
        <v>70</v>
      </c>
      <c r="AT22" s="3">
        <v>70</v>
      </c>
      <c r="AU22" s="3">
        <v>60</v>
      </c>
      <c r="AV22" s="3">
        <v>60</v>
      </c>
      <c r="AW22" s="3">
        <v>60</v>
      </c>
      <c r="AX22" s="3">
        <v>60</v>
      </c>
      <c r="AY22" s="3"/>
      <c r="AZ22" s="3"/>
      <c r="BA22" s="3"/>
      <c r="BB22" s="13">
        <f t="shared" si="1"/>
        <v>0</v>
      </c>
      <c r="BC22" s="13">
        <f t="shared" si="2"/>
        <v>0</v>
      </c>
      <c r="BD22" s="13">
        <f t="shared" si="3"/>
        <v>700</v>
      </c>
      <c r="BE22" s="13">
        <f t="shared" si="4"/>
        <v>548.8000000000001</v>
      </c>
      <c r="BF22" s="13">
        <f t="shared" si="5"/>
        <v>568.4</v>
      </c>
      <c r="BG22" s="13">
        <f t="shared" si="6"/>
        <v>1017.8</v>
      </c>
      <c r="BH22" s="13">
        <f t="shared" si="7"/>
        <v>987.84</v>
      </c>
      <c r="BI22" s="13">
        <f t="shared" si="8"/>
        <v>992.4</v>
      </c>
      <c r="BJ22" s="13">
        <f t="shared" si="9"/>
        <v>1080</v>
      </c>
      <c r="BK22" s="13">
        <f t="shared" si="12"/>
        <v>420</v>
      </c>
      <c r="BL22" s="13"/>
      <c r="BM22" s="13"/>
    </row>
    <row r="23" spans="1:65" ht="15.75">
      <c r="A23" s="3" t="s">
        <v>35</v>
      </c>
      <c r="B23" s="3"/>
      <c r="C23" s="16">
        <f t="shared" si="13"/>
        <v>0</v>
      </c>
      <c r="D23" s="16">
        <f t="shared" si="14"/>
        <v>0</v>
      </c>
      <c r="E23" s="10">
        <f t="shared" si="15"/>
        <v>0</v>
      </c>
      <c r="F23" s="10">
        <f t="shared" si="16"/>
        <v>0</v>
      </c>
      <c r="G23" s="10">
        <f t="shared" si="17"/>
        <v>0</v>
      </c>
      <c r="H23" s="10">
        <f t="shared" si="18"/>
        <v>0</v>
      </c>
      <c r="I23" s="10">
        <f t="shared" si="19"/>
        <v>0</v>
      </c>
      <c r="J23" s="10">
        <f t="shared" si="53"/>
        <v>0</v>
      </c>
      <c r="K23" s="10">
        <f t="shared" si="21"/>
        <v>0</v>
      </c>
      <c r="L23" s="10">
        <f t="shared" si="22"/>
        <v>0</v>
      </c>
      <c r="M23" s="10">
        <f t="shared" si="23"/>
        <v>0</v>
      </c>
      <c r="N23" s="10">
        <f t="shared" si="24"/>
        <v>0</v>
      </c>
      <c r="O23" s="11"/>
      <c r="P23" s="12">
        <f>+$O$23*C23</f>
        <v>0</v>
      </c>
      <c r="Q23" s="12">
        <f>+$O$23*D23</f>
        <v>0</v>
      </c>
      <c r="R23" s="12">
        <f>+$O$23*E23</f>
        <v>0</v>
      </c>
      <c r="S23" s="12">
        <f>+$O$23*F23</f>
        <v>0</v>
      </c>
      <c r="T23" s="12">
        <f>+$O$23*G23</f>
        <v>0</v>
      </c>
      <c r="U23" s="12">
        <f>+$O$23*H23</f>
        <v>0</v>
      </c>
      <c r="V23" s="12">
        <f>+$O$23*I23</f>
        <v>0</v>
      </c>
      <c r="W23" s="12">
        <f>+$O$23*J23</f>
        <v>0</v>
      </c>
      <c r="X23" s="12">
        <f>+$O$23*K23</f>
        <v>0</v>
      </c>
      <c r="Y23" s="12">
        <f>+$O$23*L23</f>
        <v>0</v>
      </c>
      <c r="Z23" s="12">
        <f>+$O$23*M23</f>
        <v>0</v>
      </c>
      <c r="AA23" s="12">
        <f>+$O$23*N23</f>
        <v>0</v>
      </c>
      <c r="AB23" s="13">
        <f>8800*0.27*0.78</f>
        <v>1853.28</v>
      </c>
      <c r="AC23" s="13">
        <f>8800*0.27*0.22</f>
        <v>522.72</v>
      </c>
      <c r="AD23" s="13"/>
      <c r="AE23" s="13"/>
      <c r="AF23" s="13"/>
      <c r="AG23" s="13"/>
      <c r="AH23" s="13"/>
      <c r="AI23" s="13"/>
      <c r="AJ23" s="13"/>
      <c r="AK23" s="13">
        <f>8800*0.73*0.33</f>
        <v>2119.92</v>
      </c>
      <c r="AL23" s="13">
        <f>8800*0.73*0.36</f>
        <v>2312.64</v>
      </c>
      <c r="AM23" s="13">
        <f>8800*0.73*0.31</f>
        <v>1991.44</v>
      </c>
      <c r="AN23" s="14">
        <f t="shared" si="0"/>
        <v>8800.000000000002</v>
      </c>
      <c r="AO23" s="3">
        <v>40</v>
      </c>
      <c r="AP23" s="3">
        <v>40</v>
      </c>
      <c r="AQ23" s="3"/>
      <c r="AR23" s="3"/>
      <c r="AS23" s="3"/>
      <c r="AT23" s="3"/>
      <c r="AU23" s="3"/>
      <c r="AV23" s="3"/>
      <c r="AW23" s="3"/>
      <c r="AX23" s="3">
        <v>60</v>
      </c>
      <c r="AY23" s="3">
        <v>60</v>
      </c>
      <c r="AZ23" s="3">
        <v>60</v>
      </c>
      <c r="BA23" s="3"/>
      <c r="BB23" s="13">
        <f t="shared" si="1"/>
        <v>741.312</v>
      </c>
      <c r="BC23" s="13">
        <f t="shared" si="2"/>
        <v>209.08800000000002</v>
      </c>
      <c r="BD23" s="13">
        <f t="shared" si="3"/>
        <v>0</v>
      </c>
      <c r="BE23" s="13">
        <f t="shared" si="4"/>
        <v>0</v>
      </c>
      <c r="BF23" s="13">
        <f t="shared" si="5"/>
        <v>0</v>
      </c>
      <c r="BG23" s="13">
        <f t="shared" si="6"/>
        <v>0</v>
      </c>
      <c r="BH23" s="13">
        <f t="shared" si="7"/>
        <v>0</v>
      </c>
      <c r="BI23" s="13">
        <f t="shared" si="8"/>
        <v>0</v>
      </c>
      <c r="BJ23" s="13">
        <f t="shared" si="9"/>
        <v>0</v>
      </c>
      <c r="BK23" s="13">
        <f t="shared" si="12"/>
        <v>1271.9520000000002</v>
      </c>
      <c r="BL23" s="13">
        <f aca="true" t="shared" si="54" ref="BL23:BL66">+AL23*AY23/100</f>
        <v>1387.5839999999998</v>
      </c>
      <c r="BM23" s="13">
        <f aca="true" t="shared" si="55" ref="BM23:BM66">+AM23*AZ23/100</f>
        <v>1194.864</v>
      </c>
    </row>
    <row r="24" spans="1:65" ht="15.75">
      <c r="A24" s="3" t="s">
        <v>36</v>
      </c>
      <c r="B24" s="3"/>
      <c r="C24" s="10">
        <f t="shared" si="13"/>
        <v>0</v>
      </c>
      <c r="D24" s="10">
        <f t="shared" si="14"/>
        <v>0</v>
      </c>
      <c r="E24" s="10">
        <f t="shared" si="15"/>
        <v>0</v>
      </c>
      <c r="F24" s="10">
        <f t="shared" si="16"/>
        <v>0</v>
      </c>
      <c r="G24" s="10">
        <f t="shared" si="17"/>
        <v>0</v>
      </c>
      <c r="H24" s="10">
        <f t="shared" si="18"/>
        <v>0</v>
      </c>
      <c r="I24" s="10">
        <f t="shared" si="19"/>
        <v>0</v>
      </c>
      <c r="J24" s="10">
        <f t="shared" si="53"/>
        <v>0</v>
      </c>
      <c r="K24" s="10">
        <f t="shared" si="21"/>
        <v>0</v>
      </c>
      <c r="L24" s="10">
        <f t="shared" si="22"/>
        <v>0</v>
      </c>
      <c r="M24" s="10">
        <f t="shared" si="23"/>
        <v>0</v>
      </c>
      <c r="N24" s="10">
        <f t="shared" si="24"/>
        <v>0</v>
      </c>
      <c r="O24" s="11"/>
      <c r="P24" s="12">
        <f>+$O$24*C24</f>
        <v>0</v>
      </c>
      <c r="Q24" s="12">
        <f>+$O$24*D24</f>
        <v>0</v>
      </c>
      <c r="R24" s="12">
        <f>+$O$24*E24</f>
        <v>0</v>
      </c>
      <c r="S24" s="12">
        <f>+$O$24*F24</f>
        <v>0</v>
      </c>
      <c r="T24" s="12">
        <f>+$O$24*G24</f>
        <v>0</v>
      </c>
      <c r="U24" s="12">
        <f>+$O$24*H24</f>
        <v>0</v>
      </c>
      <c r="V24" s="12">
        <f>+$O$24*I24</f>
        <v>0</v>
      </c>
      <c r="W24" s="12">
        <f>+$O$24*J24</f>
        <v>0</v>
      </c>
      <c r="X24" s="12">
        <f>+$O$24*K24</f>
        <v>0</v>
      </c>
      <c r="Y24" s="12">
        <f>+$O$24*L24</f>
        <v>0</v>
      </c>
      <c r="Z24" s="12">
        <f>+$O$24*M24</f>
        <v>0</v>
      </c>
      <c r="AA24" s="12">
        <f>+$O$24*N24</f>
        <v>0</v>
      </c>
      <c r="AB24" s="13">
        <f>7500*0.3*0.74</f>
        <v>1665</v>
      </c>
      <c r="AC24" s="13">
        <f>7500*0.3*0.26</f>
        <v>585</v>
      </c>
      <c r="AD24" s="13"/>
      <c r="AE24" s="13"/>
      <c r="AF24" s="13"/>
      <c r="AG24" s="13"/>
      <c r="AH24" s="13"/>
      <c r="AI24" s="13"/>
      <c r="AJ24" s="13"/>
      <c r="AK24" s="13">
        <f>7500*0.7*0.32</f>
        <v>1680</v>
      </c>
      <c r="AL24" s="13">
        <f>7500*0.7*0.36</f>
        <v>1890</v>
      </c>
      <c r="AM24" s="13">
        <f>7500*0.7*0.32</f>
        <v>1680</v>
      </c>
      <c r="AN24" s="14">
        <f t="shared" si="0"/>
        <v>7500</v>
      </c>
      <c r="AO24" s="3">
        <v>50</v>
      </c>
      <c r="AP24" s="3">
        <v>50</v>
      </c>
      <c r="AQ24" s="3"/>
      <c r="AR24" s="3"/>
      <c r="AS24" s="3"/>
      <c r="AT24" s="3"/>
      <c r="AU24" s="3"/>
      <c r="AV24" s="3"/>
      <c r="AW24" s="3"/>
      <c r="AX24" s="3">
        <v>65</v>
      </c>
      <c r="AY24" s="3">
        <v>65</v>
      </c>
      <c r="AZ24" s="3">
        <v>65</v>
      </c>
      <c r="BA24" s="3"/>
      <c r="BB24" s="13">
        <f t="shared" si="1"/>
        <v>832.5</v>
      </c>
      <c r="BC24" s="13">
        <f t="shared" si="2"/>
        <v>292.5</v>
      </c>
      <c r="BD24" s="13">
        <f t="shared" si="3"/>
        <v>0</v>
      </c>
      <c r="BE24" s="13">
        <f t="shared" si="4"/>
        <v>0</v>
      </c>
      <c r="BF24" s="13">
        <f t="shared" si="5"/>
        <v>0</v>
      </c>
      <c r="BG24" s="13">
        <f t="shared" si="6"/>
        <v>0</v>
      </c>
      <c r="BH24" s="13">
        <f t="shared" si="7"/>
        <v>0</v>
      </c>
      <c r="BI24" s="13">
        <f t="shared" si="8"/>
        <v>0</v>
      </c>
      <c r="BJ24" s="13">
        <f t="shared" si="9"/>
        <v>0</v>
      </c>
      <c r="BK24" s="13">
        <f t="shared" si="12"/>
        <v>1092</v>
      </c>
      <c r="BL24" s="13">
        <f t="shared" si="54"/>
        <v>1228.5</v>
      </c>
      <c r="BM24" s="13">
        <f t="shared" si="55"/>
        <v>1092</v>
      </c>
    </row>
    <row r="25" spans="1:65" ht="15.75">
      <c r="A25" s="3" t="s">
        <v>37</v>
      </c>
      <c r="B25" s="3"/>
      <c r="C25" s="10">
        <f t="shared" si="13"/>
        <v>0</v>
      </c>
      <c r="D25" s="10">
        <f t="shared" si="14"/>
        <v>0</v>
      </c>
      <c r="E25" s="10">
        <f t="shared" si="15"/>
        <v>0</v>
      </c>
      <c r="F25" s="10">
        <f t="shared" si="16"/>
        <v>0</v>
      </c>
      <c r="G25" s="10">
        <f t="shared" si="17"/>
        <v>0</v>
      </c>
      <c r="H25" s="10">
        <f t="shared" si="18"/>
        <v>0</v>
      </c>
      <c r="I25" s="10">
        <f t="shared" si="19"/>
        <v>0</v>
      </c>
      <c r="J25" s="10">
        <f t="shared" si="53"/>
        <v>0</v>
      </c>
      <c r="K25" s="10">
        <f t="shared" si="21"/>
        <v>0</v>
      </c>
      <c r="L25" s="10">
        <f t="shared" si="22"/>
        <v>0</v>
      </c>
      <c r="M25" s="10">
        <f t="shared" si="23"/>
        <v>0</v>
      </c>
      <c r="N25" s="10">
        <f t="shared" si="24"/>
        <v>0</v>
      </c>
      <c r="O25" s="11"/>
      <c r="P25" s="12">
        <f>+$O$25*C25</f>
        <v>0</v>
      </c>
      <c r="Q25" s="12">
        <f>+$O$25*D25</f>
        <v>0</v>
      </c>
      <c r="R25" s="12">
        <f>+$O$25*E25</f>
        <v>0</v>
      </c>
      <c r="S25" s="12">
        <f>+$O$25*F25</f>
        <v>0</v>
      </c>
      <c r="T25" s="12">
        <f>+$O$25*G25</f>
        <v>0</v>
      </c>
      <c r="U25" s="12">
        <f>+$O$25*H25</f>
        <v>0</v>
      </c>
      <c r="V25" s="12">
        <f>+$O$25*I25</f>
        <v>0</v>
      </c>
      <c r="W25" s="12">
        <f>+$O$25*J25</f>
        <v>0</v>
      </c>
      <c r="X25" s="12">
        <f>+$O$25*K25</f>
        <v>0</v>
      </c>
      <c r="Y25" s="12">
        <f>+$O$25*L25</f>
        <v>0</v>
      </c>
      <c r="Z25" s="12">
        <f>+$O$25*M25</f>
        <v>0</v>
      </c>
      <c r="AA25" s="12">
        <f>+$O$25*N25</f>
        <v>0</v>
      </c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>
        <v>5000</v>
      </c>
      <c r="AN25" s="14">
        <f t="shared" si="0"/>
        <v>5000</v>
      </c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>
        <v>70</v>
      </c>
      <c r="BA25" s="3"/>
      <c r="BB25" s="13">
        <f t="shared" si="1"/>
        <v>0</v>
      </c>
      <c r="BC25" s="13">
        <f t="shared" si="2"/>
        <v>0</v>
      </c>
      <c r="BD25" s="13">
        <f t="shared" si="3"/>
        <v>0</v>
      </c>
      <c r="BE25" s="13">
        <f t="shared" si="4"/>
        <v>0</v>
      </c>
      <c r="BF25" s="13">
        <f t="shared" si="5"/>
        <v>0</v>
      </c>
      <c r="BG25" s="13">
        <f t="shared" si="6"/>
        <v>0</v>
      </c>
      <c r="BH25" s="13">
        <f t="shared" si="7"/>
        <v>0</v>
      </c>
      <c r="BI25" s="13">
        <f t="shared" si="8"/>
        <v>0</v>
      </c>
      <c r="BJ25" s="13">
        <f t="shared" si="9"/>
        <v>0</v>
      </c>
      <c r="BK25" s="13">
        <f t="shared" si="12"/>
        <v>0</v>
      </c>
      <c r="BL25" s="13">
        <f t="shared" si="54"/>
        <v>0</v>
      </c>
      <c r="BM25" s="13">
        <f t="shared" si="55"/>
        <v>3500</v>
      </c>
    </row>
    <row r="26" spans="1:65" ht="15.75">
      <c r="A26" s="17" t="s">
        <v>38</v>
      </c>
      <c r="B26" s="3"/>
      <c r="C26" s="10">
        <f t="shared" si="13"/>
        <v>0</v>
      </c>
      <c r="D26" s="10">
        <f t="shared" si="14"/>
        <v>0</v>
      </c>
      <c r="E26" s="10">
        <f t="shared" si="15"/>
        <v>0</v>
      </c>
      <c r="F26" s="10">
        <f t="shared" si="16"/>
        <v>0</v>
      </c>
      <c r="G26" s="10">
        <f t="shared" si="17"/>
        <v>0</v>
      </c>
      <c r="H26" s="10">
        <f t="shared" si="18"/>
        <v>0</v>
      </c>
      <c r="I26" s="10">
        <f t="shared" si="19"/>
        <v>0</v>
      </c>
      <c r="J26" s="10">
        <f t="shared" si="53"/>
        <v>0</v>
      </c>
      <c r="K26" s="10">
        <f t="shared" si="21"/>
        <v>0</v>
      </c>
      <c r="L26" s="10">
        <f t="shared" si="22"/>
        <v>0</v>
      </c>
      <c r="M26" s="10">
        <f t="shared" si="23"/>
        <v>0</v>
      </c>
      <c r="N26" s="10">
        <f t="shared" si="24"/>
        <v>0</v>
      </c>
      <c r="O26" s="11"/>
      <c r="P26" s="12">
        <f>+$O$26*C26</f>
        <v>0</v>
      </c>
      <c r="Q26" s="12">
        <f>+$O$26*D26</f>
        <v>0</v>
      </c>
      <c r="R26" s="12">
        <f>+$O$26*E26</f>
        <v>0</v>
      </c>
      <c r="S26" s="12">
        <f>+$O$26*F26</f>
        <v>0</v>
      </c>
      <c r="T26" s="12">
        <f>+$O$26*G26</f>
        <v>0</v>
      </c>
      <c r="U26" s="12">
        <f>+$O$26*H26</f>
        <v>0</v>
      </c>
      <c r="V26" s="12">
        <f>+$O$26*I26</f>
        <v>0</v>
      </c>
      <c r="W26" s="12">
        <f>+$O$26*J26</f>
        <v>0</v>
      </c>
      <c r="X26" s="12">
        <f>+$O$26*K26</f>
        <v>0</v>
      </c>
      <c r="Y26" s="12">
        <f>+$O$26*L26</f>
        <v>0</v>
      </c>
      <c r="Z26" s="12">
        <f>+$O$26*M26</f>
        <v>0</v>
      </c>
      <c r="AA26" s="12">
        <f>+$O$26*N26</f>
        <v>0</v>
      </c>
      <c r="AB26" s="15"/>
      <c r="AC26" s="15"/>
      <c r="AD26" s="15"/>
      <c r="AE26" s="15"/>
      <c r="AF26" s="15"/>
      <c r="AG26" s="15"/>
      <c r="AH26" s="15">
        <v>756</v>
      </c>
      <c r="AI26" s="15">
        <v>1089</v>
      </c>
      <c r="AJ26" s="15">
        <v>1180</v>
      </c>
      <c r="AK26" s="15">
        <v>1114</v>
      </c>
      <c r="AL26" s="15">
        <v>743</v>
      </c>
      <c r="AM26" s="15">
        <v>619</v>
      </c>
      <c r="AN26" s="14">
        <f t="shared" si="0"/>
        <v>5501</v>
      </c>
      <c r="AO26" s="3">
        <v>70</v>
      </c>
      <c r="AP26" s="3">
        <v>70</v>
      </c>
      <c r="AQ26" s="3">
        <v>70</v>
      </c>
      <c r="AR26" s="3">
        <v>70</v>
      </c>
      <c r="AS26" s="3">
        <v>70</v>
      </c>
      <c r="AT26" s="3">
        <v>70</v>
      </c>
      <c r="AU26" s="3">
        <v>60</v>
      </c>
      <c r="AV26" s="3">
        <v>60</v>
      </c>
      <c r="AW26" s="3">
        <v>60</v>
      </c>
      <c r="AX26" s="3">
        <v>70</v>
      </c>
      <c r="AY26" s="3">
        <v>70</v>
      </c>
      <c r="AZ26" s="3">
        <v>70</v>
      </c>
      <c r="BA26" s="3"/>
      <c r="BB26" s="13">
        <f t="shared" si="1"/>
        <v>0</v>
      </c>
      <c r="BC26" s="13">
        <f t="shared" si="2"/>
        <v>0</v>
      </c>
      <c r="BD26" s="13">
        <f t="shared" si="3"/>
        <v>0</v>
      </c>
      <c r="BE26" s="13">
        <f t="shared" si="4"/>
        <v>0</v>
      </c>
      <c r="BF26" s="13">
        <f t="shared" si="5"/>
        <v>0</v>
      </c>
      <c r="BG26" s="13">
        <f t="shared" si="6"/>
        <v>0</v>
      </c>
      <c r="BH26" s="13">
        <f t="shared" si="7"/>
        <v>453.6</v>
      </c>
      <c r="BI26" s="13">
        <f t="shared" si="8"/>
        <v>653.4</v>
      </c>
      <c r="BJ26" s="13">
        <f t="shared" si="9"/>
        <v>708</v>
      </c>
      <c r="BK26" s="13">
        <f t="shared" si="12"/>
        <v>779.8</v>
      </c>
      <c r="BL26" s="13">
        <f t="shared" si="54"/>
        <v>520.1</v>
      </c>
      <c r="BM26" s="13">
        <f t="shared" si="55"/>
        <v>433.3</v>
      </c>
    </row>
    <row r="27" spans="1:65" ht="15.75">
      <c r="A27" s="18" t="s">
        <v>39</v>
      </c>
      <c r="B27" s="3"/>
      <c r="C27" s="10">
        <f t="shared" si="13"/>
        <v>0</v>
      </c>
      <c r="D27" s="10">
        <f t="shared" si="14"/>
        <v>0</v>
      </c>
      <c r="E27" s="10">
        <f t="shared" si="15"/>
        <v>0</v>
      </c>
      <c r="F27" s="10">
        <f t="shared" si="16"/>
        <v>0</v>
      </c>
      <c r="G27" s="10">
        <f t="shared" si="17"/>
        <v>0</v>
      </c>
      <c r="H27" s="10">
        <f t="shared" si="18"/>
        <v>0</v>
      </c>
      <c r="I27" s="10">
        <f t="shared" si="19"/>
        <v>0</v>
      </c>
      <c r="J27" s="10">
        <f t="shared" si="53"/>
        <v>0</v>
      </c>
      <c r="K27" s="10">
        <f t="shared" si="21"/>
        <v>0</v>
      </c>
      <c r="L27" s="10">
        <f t="shared" si="22"/>
        <v>0</v>
      </c>
      <c r="M27" s="10">
        <f t="shared" si="23"/>
        <v>0</v>
      </c>
      <c r="N27" s="10">
        <f t="shared" si="24"/>
        <v>0</v>
      </c>
      <c r="O27" s="11"/>
      <c r="P27" s="12">
        <f>+$O$27*C27</f>
        <v>0</v>
      </c>
      <c r="Q27" s="12">
        <f>+$O$27*D27</f>
        <v>0</v>
      </c>
      <c r="R27" s="12">
        <f>+$O$27*E27</f>
        <v>0</v>
      </c>
      <c r="S27" s="12">
        <f>+$O$27*F27</f>
        <v>0</v>
      </c>
      <c r="T27" s="12">
        <f>+$O$27*G27</f>
        <v>0</v>
      </c>
      <c r="U27" s="12">
        <f>+$O$27*H27</f>
        <v>0</v>
      </c>
      <c r="V27" s="12">
        <f>+$O$27*I27</f>
        <v>0</v>
      </c>
      <c r="W27" s="12">
        <f>+$O$27*J27</f>
        <v>0</v>
      </c>
      <c r="X27" s="12">
        <f>+$O$27*K27</f>
        <v>0</v>
      </c>
      <c r="Y27" s="12">
        <f>+$O$27*L27</f>
        <v>0</v>
      </c>
      <c r="Z27" s="12">
        <f>+$O$27*M27</f>
        <v>0</v>
      </c>
      <c r="AA27" s="12">
        <f>+$O$27*N27</f>
        <v>0</v>
      </c>
      <c r="AB27" s="15">
        <v>850</v>
      </c>
      <c r="AC27" s="15">
        <v>425</v>
      </c>
      <c r="AD27" s="15">
        <v>425</v>
      </c>
      <c r="AE27" s="15">
        <v>408</v>
      </c>
      <c r="AF27" s="15">
        <v>357</v>
      </c>
      <c r="AG27" s="15">
        <v>510</v>
      </c>
      <c r="AH27" s="15">
        <v>744</v>
      </c>
      <c r="AI27" s="15">
        <v>1071</v>
      </c>
      <c r="AJ27" s="15">
        <v>1160</v>
      </c>
      <c r="AK27" s="15">
        <v>1148</v>
      </c>
      <c r="AL27" s="15">
        <v>893</v>
      </c>
      <c r="AM27" s="15">
        <v>638</v>
      </c>
      <c r="AN27" s="14">
        <f t="shared" si="0"/>
        <v>8629</v>
      </c>
      <c r="AO27" s="3">
        <v>70</v>
      </c>
      <c r="AP27" s="3">
        <v>70</v>
      </c>
      <c r="AQ27" s="3">
        <v>70</v>
      </c>
      <c r="AR27" s="3">
        <v>70</v>
      </c>
      <c r="AS27" s="3">
        <v>70</v>
      </c>
      <c r="AT27" s="3">
        <v>70</v>
      </c>
      <c r="AU27" s="3">
        <v>60</v>
      </c>
      <c r="AV27" s="3">
        <v>60</v>
      </c>
      <c r="AW27" s="3">
        <v>60</v>
      </c>
      <c r="AX27" s="3">
        <v>70</v>
      </c>
      <c r="AY27" s="3">
        <v>70</v>
      </c>
      <c r="AZ27" s="3">
        <v>70</v>
      </c>
      <c r="BA27" s="3"/>
      <c r="BB27" s="13">
        <f t="shared" si="1"/>
        <v>595</v>
      </c>
      <c r="BC27" s="13">
        <f t="shared" si="2"/>
        <v>297.5</v>
      </c>
      <c r="BD27" s="13">
        <f t="shared" si="3"/>
        <v>297.5</v>
      </c>
      <c r="BE27" s="13">
        <f t="shared" si="4"/>
        <v>285.6</v>
      </c>
      <c r="BF27" s="13">
        <f t="shared" si="5"/>
        <v>249.9</v>
      </c>
      <c r="BG27" s="13">
        <f t="shared" si="6"/>
        <v>357</v>
      </c>
      <c r="BH27" s="13">
        <f t="shared" si="7"/>
        <v>446.4</v>
      </c>
      <c r="BI27" s="13">
        <f t="shared" si="8"/>
        <v>642.6</v>
      </c>
      <c r="BJ27" s="13">
        <f t="shared" si="9"/>
        <v>696</v>
      </c>
      <c r="BK27" s="13">
        <f t="shared" si="12"/>
        <v>803.6</v>
      </c>
      <c r="BL27" s="13">
        <f t="shared" si="54"/>
        <v>625.1</v>
      </c>
      <c r="BM27" s="13">
        <f t="shared" si="55"/>
        <v>446.6</v>
      </c>
    </row>
    <row r="28" spans="1:65" ht="15.75">
      <c r="A28" s="18" t="s">
        <v>40</v>
      </c>
      <c r="B28" s="3"/>
      <c r="C28" s="10">
        <f t="shared" si="13"/>
        <v>0</v>
      </c>
      <c r="D28" s="10">
        <f t="shared" si="14"/>
        <v>0</v>
      </c>
      <c r="E28" s="10">
        <f t="shared" si="15"/>
        <v>0</v>
      </c>
      <c r="F28" s="10">
        <f t="shared" si="16"/>
        <v>0</v>
      </c>
      <c r="G28" s="10">
        <f t="shared" si="17"/>
        <v>0</v>
      </c>
      <c r="H28" s="10">
        <f t="shared" si="18"/>
        <v>0</v>
      </c>
      <c r="I28" s="10">
        <f t="shared" si="19"/>
        <v>0</v>
      </c>
      <c r="J28" s="10">
        <f t="shared" si="53"/>
        <v>0</v>
      </c>
      <c r="K28" s="10">
        <f t="shared" si="21"/>
        <v>0</v>
      </c>
      <c r="L28" s="10">
        <f t="shared" si="22"/>
        <v>0</v>
      </c>
      <c r="M28" s="10">
        <f t="shared" si="23"/>
        <v>0</v>
      </c>
      <c r="N28" s="10">
        <f t="shared" si="24"/>
        <v>0</v>
      </c>
      <c r="O28" s="11"/>
      <c r="P28" s="12">
        <f>+$O$28*C28</f>
        <v>0</v>
      </c>
      <c r="Q28" s="12">
        <f>+$O$28*D28</f>
        <v>0</v>
      </c>
      <c r="R28" s="12">
        <f>+$O$28*E28</f>
        <v>0</v>
      </c>
      <c r="S28" s="12">
        <f>+$O$28*F28</f>
        <v>0</v>
      </c>
      <c r="T28" s="12">
        <f>+$O$28*G28</f>
        <v>0</v>
      </c>
      <c r="U28" s="12">
        <f>+$O$28*H28</f>
        <v>0</v>
      </c>
      <c r="V28" s="12">
        <f>+$O$28*I28</f>
        <v>0</v>
      </c>
      <c r="W28" s="12">
        <f>+$O$28*J28</f>
        <v>0</v>
      </c>
      <c r="X28" s="12">
        <f>+$O$28*K28</f>
        <v>0</v>
      </c>
      <c r="Y28" s="12">
        <f>+$O$28*L28</f>
        <v>0</v>
      </c>
      <c r="Z28" s="12">
        <f>+$O$28*M28</f>
        <v>0</v>
      </c>
      <c r="AA28" s="12">
        <f>+$O$28*N28</f>
        <v>0</v>
      </c>
      <c r="AB28" s="15">
        <v>650</v>
      </c>
      <c r="AC28" s="15">
        <v>325</v>
      </c>
      <c r="AD28" s="15">
        <v>325</v>
      </c>
      <c r="AE28" s="15">
        <v>250</v>
      </c>
      <c r="AF28" s="15">
        <v>218</v>
      </c>
      <c r="AG28" s="15">
        <v>312</v>
      </c>
      <c r="AH28" s="15">
        <v>618</v>
      </c>
      <c r="AI28" s="15">
        <v>889</v>
      </c>
      <c r="AJ28" s="15">
        <v>963</v>
      </c>
      <c r="AK28" s="15">
        <v>780</v>
      </c>
      <c r="AL28" s="15">
        <v>683</v>
      </c>
      <c r="AM28" s="15">
        <v>488</v>
      </c>
      <c r="AN28" s="14">
        <f t="shared" si="0"/>
        <v>6501</v>
      </c>
      <c r="AO28" s="3">
        <v>70</v>
      </c>
      <c r="AP28" s="3">
        <v>70</v>
      </c>
      <c r="AQ28" s="3">
        <v>70</v>
      </c>
      <c r="AR28" s="3">
        <v>70</v>
      </c>
      <c r="AS28" s="3">
        <v>70</v>
      </c>
      <c r="AT28" s="3">
        <v>70</v>
      </c>
      <c r="AU28" s="3">
        <v>60</v>
      </c>
      <c r="AV28" s="3">
        <v>60</v>
      </c>
      <c r="AW28" s="3">
        <v>60</v>
      </c>
      <c r="AX28" s="3">
        <v>70</v>
      </c>
      <c r="AY28" s="3">
        <v>70</v>
      </c>
      <c r="AZ28" s="3">
        <v>70</v>
      </c>
      <c r="BA28" s="3"/>
      <c r="BB28" s="13">
        <f t="shared" si="1"/>
        <v>455</v>
      </c>
      <c r="BC28" s="13">
        <f t="shared" si="2"/>
        <v>227.5</v>
      </c>
      <c r="BD28" s="13">
        <f t="shared" si="3"/>
        <v>227.5</v>
      </c>
      <c r="BE28" s="13">
        <f t="shared" si="4"/>
        <v>175</v>
      </c>
      <c r="BF28" s="13">
        <f t="shared" si="5"/>
        <v>152.6</v>
      </c>
      <c r="BG28" s="13">
        <f t="shared" si="6"/>
        <v>218.4</v>
      </c>
      <c r="BH28" s="13">
        <f t="shared" si="7"/>
        <v>370.8</v>
      </c>
      <c r="BI28" s="13">
        <f t="shared" si="8"/>
        <v>533.4</v>
      </c>
      <c r="BJ28" s="13">
        <f t="shared" si="9"/>
        <v>577.8</v>
      </c>
      <c r="BK28" s="13">
        <f t="shared" si="12"/>
        <v>546</v>
      </c>
      <c r="BL28" s="13">
        <f t="shared" si="54"/>
        <v>478.1</v>
      </c>
      <c r="BM28" s="13">
        <f t="shared" si="55"/>
        <v>341.6</v>
      </c>
    </row>
    <row r="29" spans="1:65" ht="15.75">
      <c r="A29" s="18" t="s">
        <v>41</v>
      </c>
      <c r="B29" s="3"/>
      <c r="C29" s="10">
        <f t="shared" si="13"/>
        <v>0</v>
      </c>
      <c r="D29" s="10">
        <f t="shared" si="14"/>
        <v>0</v>
      </c>
      <c r="E29" s="10">
        <f t="shared" si="15"/>
        <v>0</v>
      </c>
      <c r="F29" s="10">
        <f t="shared" si="16"/>
        <v>0</v>
      </c>
      <c r="G29" s="10">
        <f t="shared" si="17"/>
        <v>0</v>
      </c>
      <c r="H29" s="10">
        <f t="shared" si="18"/>
        <v>0</v>
      </c>
      <c r="I29" s="10">
        <f t="shared" si="19"/>
        <v>0</v>
      </c>
      <c r="J29" s="10">
        <f t="shared" si="53"/>
        <v>0</v>
      </c>
      <c r="K29" s="10">
        <f t="shared" si="21"/>
        <v>0</v>
      </c>
      <c r="L29" s="10">
        <f t="shared" si="22"/>
        <v>0</v>
      </c>
      <c r="M29" s="10">
        <f t="shared" si="23"/>
        <v>0</v>
      </c>
      <c r="N29" s="10">
        <f t="shared" si="24"/>
        <v>0</v>
      </c>
      <c r="O29" s="11"/>
      <c r="P29" s="12">
        <f>+$O$29*C29</f>
        <v>0</v>
      </c>
      <c r="Q29" s="12">
        <f>+$O$29*D29</f>
        <v>0</v>
      </c>
      <c r="R29" s="12">
        <f>+$O$29*E29</f>
        <v>0</v>
      </c>
      <c r="S29" s="12">
        <f>+$O$29*F29</f>
        <v>0</v>
      </c>
      <c r="T29" s="12">
        <f>+$O$29*G29</f>
        <v>0</v>
      </c>
      <c r="U29" s="12">
        <f>+$O$29*H29</f>
        <v>0</v>
      </c>
      <c r="V29" s="12">
        <f>+$O$29*I29</f>
        <v>0</v>
      </c>
      <c r="W29" s="12">
        <f>+$O$29*J29</f>
        <v>0</v>
      </c>
      <c r="X29" s="12">
        <f>+$O$29*K29</f>
        <v>0</v>
      </c>
      <c r="Y29" s="12">
        <f>+$O$29*L29</f>
        <v>0</v>
      </c>
      <c r="Z29" s="12">
        <f>+$O$29*M29</f>
        <v>0</v>
      </c>
      <c r="AA29" s="12">
        <f>+$O$29*N29</f>
        <v>0</v>
      </c>
      <c r="AB29" s="15">
        <v>540</v>
      </c>
      <c r="AC29" s="15">
        <v>270</v>
      </c>
      <c r="AD29" s="15">
        <v>270</v>
      </c>
      <c r="AE29" s="15">
        <v>180</v>
      </c>
      <c r="AF29" s="15">
        <v>150</v>
      </c>
      <c r="AG29" s="15">
        <v>270</v>
      </c>
      <c r="AH29" s="15">
        <v>675</v>
      </c>
      <c r="AI29" s="15">
        <v>972</v>
      </c>
      <c r="AJ29" s="15">
        <v>1050</v>
      </c>
      <c r="AK29" s="15">
        <v>648</v>
      </c>
      <c r="AL29" s="15">
        <v>567</v>
      </c>
      <c r="AM29" s="15">
        <v>405</v>
      </c>
      <c r="AN29" s="14">
        <f t="shared" si="0"/>
        <v>5997</v>
      </c>
      <c r="AO29" s="3">
        <v>70</v>
      </c>
      <c r="AP29" s="3">
        <v>70</v>
      </c>
      <c r="AQ29" s="3">
        <v>70</v>
      </c>
      <c r="AR29" s="3">
        <v>70</v>
      </c>
      <c r="AS29" s="3">
        <v>70</v>
      </c>
      <c r="AT29" s="3">
        <v>70</v>
      </c>
      <c r="AU29" s="3">
        <v>60</v>
      </c>
      <c r="AV29" s="3">
        <v>60</v>
      </c>
      <c r="AW29" s="3">
        <v>60</v>
      </c>
      <c r="AX29" s="3">
        <v>70</v>
      </c>
      <c r="AY29" s="3">
        <v>70</v>
      </c>
      <c r="AZ29" s="3">
        <v>70</v>
      </c>
      <c r="BA29" s="3"/>
      <c r="BB29" s="13">
        <f t="shared" si="1"/>
        <v>378</v>
      </c>
      <c r="BC29" s="13">
        <f t="shared" si="2"/>
        <v>189</v>
      </c>
      <c r="BD29" s="13">
        <f t="shared" si="3"/>
        <v>189</v>
      </c>
      <c r="BE29" s="13">
        <f t="shared" si="4"/>
        <v>126</v>
      </c>
      <c r="BF29" s="13">
        <f t="shared" si="5"/>
        <v>105</v>
      </c>
      <c r="BG29" s="13">
        <f t="shared" si="6"/>
        <v>189</v>
      </c>
      <c r="BH29" s="13">
        <f t="shared" si="7"/>
        <v>405</v>
      </c>
      <c r="BI29" s="13">
        <f t="shared" si="8"/>
        <v>583.2</v>
      </c>
      <c r="BJ29" s="13">
        <f t="shared" si="9"/>
        <v>630</v>
      </c>
      <c r="BK29" s="13">
        <f t="shared" si="12"/>
        <v>453.6</v>
      </c>
      <c r="BL29" s="13">
        <f t="shared" si="54"/>
        <v>396.9</v>
      </c>
      <c r="BM29" s="13">
        <f t="shared" si="55"/>
        <v>283.5</v>
      </c>
    </row>
    <row r="30" spans="1:65" ht="15.75">
      <c r="A30" s="17" t="s">
        <v>42</v>
      </c>
      <c r="B30" s="3"/>
      <c r="C30" s="10">
        <f t="shared" si="13"/>
        <v>0</v>
      </c>
      <c r="D30" s="10">
        <f t="shared" si="14"/>
        <v>0</v>
      </c>
      <c r="E30" s="10">
        <f t="shared" si="15"/>
        <v>0</v>
      </c>
      <c r="F30" s="10">
        <f t="shared" si="16"/>
        <v>0</v>
      </c>
      <c r="G30" s="10">
        <f t="shared" si="17"/>
        <v>0</v>
      </c>
      <c r="H30" s="10">
        <f t="shared" si="18"/>
        <v>0</v>
      </c>
      <c r="I30" s="10">
        <f t="shared" si="19"/>
        <v>0</v>
      </c>
      <c r="J30" s="10">
        <f t="shared" si="53"/>
        <v>0</v>
      </c>
      <c r="K30" s="10">
        <f t="shared" si="21"/>
        <v>0</v>
      </c>
      <c r="L30" s="10">
        <f t="shared" si="22"/>
        <v>0</v>
      </c>
      <c r="M30" s="10">
        <f t="shared" si="23"/>
        <v>0</v>
      </c>
      <c r="N30" s="10">
        <f t="shared" si="24"/>
        <v>0</v>
      </c>
      <c r="O30" s="11"/>
      <c r="P30" s="12">
        <f>+$O$30*C30</f>
        <v>0</v>
      </c>
      <c r="Q30" s="12">
        <f>+$O$30*D30</f>
        <v>0</v>
      </c>
      <c r="R30" s="12">
        <f>+$O$30*E30</f>
        <v>0</v>
      </c>
      <c r="S30" s="12">
        <f>+$O$30*F30</f>
        <v>0</v>
      </c>
      <c r="T30" s="12">
        <f>+$O$30*G30</f>
        <v>0</v>
      </c>
      <c r="U30" s="12">
        <f>+$O$30*H30</f>
        <v>0</v>
      </c>
      <c r="V30" s="12">
        <f>+$O$30*I30</f>
        <v>0</v>
      </c>
      <c r="W30" s="12">
        <f>+$O$30*J30</f>
        <v>0</v>
      </c>
      <c r="X30" s="12">
        <f>+$O$30*K30</f>
        <v>0</v>
      </c>
      <c r="Y30" s="12">
        <f>+$O$30*L30</f>
        <v>0</v>
      </c>
      <c r="Z30" s="12">
        <f>+$O$30*M30</f>
        <v>0</v>
      </c>
      <c r="AA30" s="12">
        <f>+$O$30*N30</f>
        <v>0</v>
      </c>
      <c r="AB30" s="15"/>
      <c r="AC30" s="15">
        <v>300</v>
      </c>
      <c r="AD30" s="15">
        <v>300</v>
      </c>
      <c r="AE30" s="15">
        <v>400</v>
      </c>
      <c r="AF30" s="15">
        <v>400</v>
      </c>
      <c r="AG30" s="15">
        <v>500</v>
      </c>
      <c r="AH30" s="15">
        <v>1156</v>
      </c>
      <c r="AI30" s="15">
        <v>1089</v>
      </c>
      <c r="AJ30" s="15">
        <v>1180</v>
      </c>
      <c r="AK30" s="15">
        <v>1114</v>
      </c>
      <c r="AL30" s="15">
        <v>743</v>
      </c>
      <c r="AM30" s="15">
        <v>619</v>
      </c>
      <c r="AN30" s="14">
        <f t="shared" si="0"/>
        <v>7801</v>
      </c>
      <c r="AO30" s="3">
        <v>70</v>
      </c>
      <c r="AP30" s="3">
        <v>70</v>
      </c>
      <c r="AQ30" s="3">
        <v>70</v>
      </c>
      <c r="AR30" s="3">
        <v>70</v>
      </c>
      <c r="AS30" s="3">
        <v>70</v>
      </c>
      <c r="AT30" s="3">
        <v>70</v>
      </c>
      <c r="AU30" s="3">
        <v>60</v>
      </c>
      <c r="AV30" s="3">
        <v>60</v>
      </c>
      <c r="AW30" s="3">
        <v>60</v>
      </c>
      <c r="AX30" s="3">
        <v>70</v>
      </c>
      <c r="AY30" s="3">
        <v>70</v>
      </c>
      <c r="AZ30" s="3">
        <v>70</v>
      </c>
      <c r="BA30" s="3"/>
      <c r="BB30" s="13">
        <f t="shared" si="1"/>
        <v>0</v>
      </c>
      <c r="BC30" s="13">
        <f t="shared" si="2"/>
        <v>210</v>
      </c>
      <c r="BD30" s="13">
        <f t="shared" si="3"/>
        <v>210</v>
      </c>
      <c r="BE30" s="13">
        <f t="shared" si="4"/>
        <v>280</v>
      </c>
      <c r="BF30" s="13">
        <f t="shared" si="5"/>
        <v>280</v>
      </c>
      <c r="BG30" s="13">
        <f t="shared" si="6"/>
        <v>350</v>
      </c>
      <c r="BH30" s="13">
        <f t="shared" si="7"/>
        <v>693.6</v>
      </c>
      <c r="BI30" s="13">
        <f t="shared" si="8"/>
        <v>653.4</v>
      </c>
      <c r="BJ30" s="13">
        <f t="shared" si="9"/>
        <v>708</v>
      </c>
      <c r="BK30" s="13">
        <f t="shared" si="12"/>
        <v>779.8</v>
      </c>
      <c r="BL30" s="13">
        <f t="shared" si="54"/>
        <v>520.1</v>
      </c>
      <c r="BM30" s="13">
        <f t="shared" si="55"/>
        <v>433.3</v>
      </c>
    </row>
    <row r="31" spans="1:65" ht="15.75">
      <c r="A31" s="17" t="s">
        <v>43</v>
      </c>
      <c r="B31" s="3"/>
      <c r="C31" s="10">
        <f t="shared" si="13"/>
        <v>0</v>
      </c>
      <c r="D31" s="10">
        <f t="shared" si="14"/>
        <v>0</v>
      </c>
      <c r="E31" s="10">
        <f t="shared" si="15"/>
        <v>0</v>
      </c>
      <c r="F31" s="10">
        <f t="shared" si="16"/>
        <v>0</v>
      </c>
      <c r="G31" s="10">
        <f t="shared" si="17"/>
        <v>0</v>
      </c>
      <c r="H31" s="10">
        <f t="shared" si="18"/>
        <v>0</v>
      </c>
      <c r="I31" s="10">
        <f t="shared" si="19"/>
        <v>0</v>
      </c>
      <c r="J31" s="10">
        <f t="shared" si="53"/>
        <v>0</v>
      </c>
      <c r="K31" s="10">
        <f t="shared" si="21"/>
        <v>0</v>
      </c>
      <c r="L31" s="10">
        <f t="shared" si="22"/>
        <v>0</v>
      </c>
      <c r="M31" s="10">
        <f t="shared" si="23"/>
        <v>0</v>
      </c>
      <c r="N31" s="10">
        <f t="shared" si="24"/>
        <v>0</v>
      </c>
      <c r="O31" s="11"/>
      <c r="P31" s="12">
        <f>+$O$31*C31</f>
        <v>0</v>
      </c>
      <c r="Q31" s="12">
        <f>+$O$31*D31</f>
        <v>0</v>
      </c>
      <c r="R31" s="12">
        <f>+$O$31*E31</f>
        <v>0</v>
      </c>
      <c r="S31" s="12">
        <f>+$O$31*F31</f>
        <v>0</v>
      </c>
      <c r="T31" s="12">
        <f>+$O$31*G31</f>
        <v>0</v>
      </c>
      <c r="U31" s="12">
        <f>+$O$31*H31</f>
        <v>0</v>
      </c>
      <c r="V31" s="12">
        <f>+$O$31*I31</f>
        <v>0</v>
      </c>
      <c r="W31" s="12">
        <f>+$O$31*J31</f>
        <v>0</v>
      </c>
      <c r="X31" s="12">
        <f>+$O$31*K31</f>
        <v>0</v>
      </c>
      <c r="Y31" s="12">
        <f>+$O$31*L31</f>
        <v>0</v>
      </c>
      <c r="Z31" s="12">
        <f>+$O$31*M31</f>
        <v>0</v>
      </c>
      <c r="AA31" s="12">
        <f>+$O$31*N31</f>
        <v>0</v>
      </c>
      <c r="AB31" s="15"/>
      <c r="AC31" s="15"/>
      <c r="AD31" s="15"/>
      <c r="AE31" s="15">
        <v>630</v>
      </c>
      <c r="AF31" s="15">
        <v>540</v>
      </c>
      <c r="AG31" s="15">
        <v>630</v>
      </c>
      <c r="AH31" s="15">
        <v>1188</v>
      </c>
      <c r="AI31" s="15">
        <v>1224</v>
      </c>
      <c r="AJ31" s="15">
        <v>1188</v>
      </c>
      <c r="AK31" s="15">
        <v>1520</v>
      </c>
      <c r="AL31" s="15">
        <v>1140</v>
      </c>
      <c r="AM31" s="15">
        <v>1140</v>
      </c>
      <c r="AN31" s="14">
        <f t="shared" si="0"/>
        <v>9200</v>
      </c>
      <c r="AO31" s="3">
        <v>70</v>
      </c>
      <c r="AP31" s="3">
        <v>70</v>
      </c>
      <c r="AQ31" s="3">
        <v>70</v>
      </c>
      <c r="AR31" s="3">
        <v>70</v>
      </c>
      <c r="AS31" s="3">
        <v>70</v>
      </c>
      <c r="AT31" s="3">
        <v>70</v>
      </c>
      <c r="AU31" s="3">
        <v>60</v>
      </c>
      <c r="AV31" s="3">
        <v>60</v>
      </c>
      <c r="AW31" s="3">
        <v>60</v>
      </c>
      <c r="AX31" s="3">
        <v>70</v>
      </c>
      <c r="AY31" s="3">
        <v>70</v>
      </c>
      <c r="AZ31" s="3">
        <v>70</v>
      </c>
      <c r="BA31" s="3"/>
      <c r="BB31" s="13">
        <f t="shared" si="1"/>
        <v>0</v>
      </c>
      <c r="BC31" s="13">
        <f t="shared" si="2"/>
        <v>0</v>
      </c>
      <c r="BD31" s="13">
        <f t="shared" si="3"/>
        <v>0</v>
      </c>
      <c r="BE31" s="13">
        <f t="shared" si="4"/>
        <v>441</v>
      </c>
      <c r="BF31" s="13">
        <f t="shared" si="5"/>
        <v>378</v>
      </c>
      <c r="BG31" s="13">
        <f t="shared" si="6"/>
        <v>441</v>
      </c>
      <c r="BH31" s="13">
        <f t="shared" si="7"/>
        <v>712.8</v>
      </c>
      <c r="BI31" s="13">
        <f t="shared" si="8"/>
        <v>734.4</v>
      </c>
      <c r="BJ31" s="13">
        <f t="shared" si="9"/>
        <v>712.8</v>
      </c>
      <c r="BK31" s="13">
        <f t="shared" si="12"/>
        <v>1064</v>
      </c>
      <c r="BL31" s="13">
        <f t="shared" si="54"/>
        <v>798</v>
      </c>
      <c r="BM31" s="13">
        <f t="shared" si="55"/>
        <v>798</v>
      </c>
    </row>
    <row r="32" spans="1:65" ht="15.75">
      <c r="A32" s="19" t="s">
        <v>39</v>
      </c>
      <c r="B32" s="3"/>
      <c r="C32" s="10">
        <f t="shared" si="13"/>
        <v>0</v>
      </c>
      <c r="D32" s="10">
        <f t="shared" si="14"/>
        <v>0</v>
      </c>
      <c r="E32" s="10">
        <f t="shared" si="15"/>
        <v>0</v>
      </c>
      <c r="F32" s="10">
        <f t="shared" si="16"/>
        <v>0</v>
      </c>
      <c r="G32" s="10">
        <f t="shared" si="17"/>
        <v>0</v>
      </c>
      <c r="H32" s="10">
        <f t="shared" si="18"/>
        <v>0</v>
      </c>
      <c r="I32" s="10">
        <f t="shared" si="19"/>
        <v>0</v>
      </c>
      <c r="J32" s="10">
        <f t="shared" si="53"/>
        <v>0</v>
      </c>
      <c r="K32" s="10">
        <f t="shared" si="21"/>
        <v>0</v>
      </c>
      <c r="L32" s="10">
        <f t="shared" si="22"/>
        <v>0</v>
      </c>
      <c r="M32" s="10">
        <f t="shared" si="23"/>
        <v>0</v>
      </c>
      <c r="N32" s="10">
        <f t="shared" si="24"/>
        <v>0</v>
      </c>
      <c r="O32" s="11"/>
      <c r="P32" s="12">
        <f>+$O$32*C32</f>
        <v>0</v>
      </c>
      <c r="Q32" s="12">
        <f>+$O$32*D32</f>
        <v>0</v>
      </c>
      <c r="R32" s="12">
        <f>+$O$32*E32</f>
        <v>0</v>
      </c>
      <c r="S32" s="12">
        <f>+$O$32*F32</f>
        <v>0</v>
      </c>
      <c r="T32" s="12">
        <f>+$O$32*G32</f>
        <v>0</v>
      </c>
      <c r="U32" s="12">
        <f>+$O$32*H32</f>
        <v>0</v>
      </c>
      <c r="V32" s="12">
        <f>+$O$32*I32</f>
        <v>0</v>
      </c>
      <c r="W32" s="12">
        <f>+$O$32*J32</f>
        <v>0</v>
      </c>
      <c r="X32" s="12">
        <f>+$O$32*K32</f>
        <v>0</v>
      </c>
      <c r="Y32" s="12">
        <f>+$O$32*L32</f>
        <v>0</v>
      </c>
      <c r="Z32" s="12">
        <f>+$O$32*M32</f>
        <v>0</v>
      </c>
      <c r="AA32" s="12">
        <f>+$O$32*N32</f>
        <v>0</v>
      </c>
      <c r="AB32" s="15">
        <v>455</v>
      </c>
      <c r="AC32" s="15">
        <v>455</v>
      </c>
      <c r="AD32" s="15">
        <v>390</v>
      </c>
      <c r="AE32" s="15">
        <v>672</v>
      </c>
      <c r="AF32" s="15">
        <v>588</v>
      </c>
      <c r="AG32" s="15">
        <v>840</v>
      </c>
      <c r="AH32" s="15">
        <v>1122</v>
      </c>
      <c r="AI32" s="15">
        <v>1156</v>
      </c>
      <c r="AJ32" s="15">
        <v>1122</v>
      </c>
      <c r="AK32" s="15">
        <v>840</v>
      </c>
      <c r="AL32" s="15">
        <v>735</v>
      </c>
      <c r="AM32" s="15">
        <v>735</v>
      </c>
      <c r="AN32" s="14">
        <f t="shared" si="0"/>
        <v>9110</v>
      </c>
      <c r="AO32" s="3">
        <v>70</v>
      </c>
      <c r="AP32" s="3">
        <v>70</v>
      </c>
      <c r="AQ32" s="3">
        <v>70</v>
      </c>
      <c r="AR32" s="3">
        <v>70</v>
      </c>
      <c r="AS32" s="3">
        <v>70</v>
      </c>
      <c r="AT32" s="3">
        <v>70</v>
      </c>
      <c r="AU32" s="3">
        <v>60</v>
      </c>
      <c r="AV32" s="3">
        <v>60</v>
      </c>
      <c r="AW32" s="3">
        <v>60</v>
      </c>
      <c r="AX32" s="3">
        <v>70</v>
      </c>
      <c r="AY32" s="3">
        <v>70</v>
      </c>
      <c r="AZ32" s="3">
        <v>70</v>
      </c>
      <c r="BA32" s="3"/>
      <c r="BB32" s="13">
        <f t="shared" si="1"/>
        <v>318.5</v>
      </c>
      <c r="BC32" s="13">
        <f t="shared" si="2"/>
        <v>318.5</v>
      </c>
      <c r="BD32" s="13">
        <f t="shared" si="3"/>
        <v>273</v>
      </c>
      <c r="BE32" s="13">
        <f t="shared" si="4"/>
        <v>470.4</v>
      </c>
      <c r="BF32" s="13">
        <f t="shared" si="5"/>
        <v>411.6</v>
      </c>
      <c r="BG32" s="13">
        <f t="shared" si="6"/>
        <v>588</v>
      </c>
      <c r="BH32" s="13">
        <f t="shared" si="7"/>
        <v>673.2</v>
      </c>
      <c r="BI32" s="13">
        <f t="shared" si="8"/>
        <v>693.6</v>
      </c>
      <c r="BJ32" s="13">
        <f t="shared" si="9"/>
        <v>673.2</v>
      </c>
      <c r="BK32" s="13">
        <f t="shared" si="12"/>
        <v>588</v>
      </c>
      <c r="BL32" s="13">
        <f t="shared" si="54"/>
        <v>514.5</v>
      </c>
      <c r="BM32" s="13">
        <f t="shared" si="55"/>
        <v>514.5</v>
      </c>
    </row>
    <row r="33" spans="1:65" ht="15.75">
      <c r="A33" s="17" t="s">
        <v>44</v>
      </c>
      <c r="B33" s="3"/>
      <c r="C33" s="10">
        <f t="shared" si="13"/>
        <v>0</v>
      </c>
      <c r="D33" s="10">
        <f t="shared" si="14"/>
        <v>0</v>
      </c>
      <c r="E33" s="10">
        <f t="shared" si="15"/>
        <v>0</v>
      </c>
      <c r="F33" s="10">
        <f t="shared" si="16"/>
        <v>0</v>
      </c>
      <c r="G33" s="10">
        <f t="shared" si="17"/>
        <v>0</v>
      </c>
      <c r="H33" s="10">
        <f t="shared" si="18"/>
        <v>0</v>
      </c>
      <c r="I33" s="10">
        <f t="shared" si="19"/>
        <v>0</v>
      </c>
      <c r="J33" s="10">
        <f t="shared" si="53"/>
        <v>0</v>
      </c>
      <c r="K33" s="10">
        <f t="shared" si="21"/>
        <v>0</v>
      </c>
      <c r="L33" s="10">
        <f t="shared" si="22"/>
        <v>0</v>
      </c>
      <c r="M33" s="10">
        <f t="shared" si="23"/>
        <v>0</v>
      </c>
      <c r="N33" s="10">
        <f t="shared" si="24"/>
        <v>0</v>
      </c>
      <c r="O33" s="11"/>
      <c r="P33" s="12">
        <f>+$O$33*C33</f>
        <v>0</v>
      </c>
      <c r="Q33" s="12">
        <f>+$O$33*D33</f>
        <v>0</v>
      </c>
      <c r="R33" s="12">
        <f>+$O$33*E33</f>
        <v>0</v>
      </c>
      <c r="S33" s="12">
        <f>+$O$33*F33</f>
        <v>0</v>
      </c>
      <c r="T33" s="12">
        <f>+$O$33*G33</f>
        <v>0</v>
      </c>
      <c r="U33" s="12">
        <f>+$O$33*H33</f>
        <v>0</v>
      </c>
      <c r="V33" s="12">
        <f>+$O$33*I33</f>
        <v>0</v>
      </c>
      <c r="W33" s="12">
        <f>+$O$33*J33</f>
        <v>0</v>
      </c>
      <c r="X33" s="12">
        <f>+$O$33*K33</f>
        <v>0</v>
      </c>
      <c r="Y33" s="12">
        <f>+$O$33*L33</f>
        <v>0</v>
      </c>
      <c r="Z33" s="12">
        <f>+$O$33*M33</f>
        <v>0</v>
      </c>
      <c r="AA33" s="12">
        <f>+$O$33*N33</f>
        <v>0</v>
      </c>
      <c r="AB33" s="15"/>
      <c r="AC33" s="15"/>
      <c r="AD33" s="15"/>
      <c r="AE33" s="15">
        <v>660</v>
      </c>
      <c r="AF33" s="15">
        <v>770</v>
      </c>
      <c r="AG33" s="15">
        <v>770</v>
      </c>
      <c r="AH33" s="15">
        <v>1188</v>
      </c>
      <c r="AI33" s="15">
        <v>1224</v>
      </c>
      <c r="AJ33" s="15">
        <v>1188</v>
      </c>
      <c r="AK33" s="15">
        <v>1596</v>
      </c>
      <c r="AL33" s="15">
        <v>1104</v>
      </c>
      <c r="AM33" s="15">
        <v>1050</v>
      </c>
      <c r="AN33" s="14">
        <f t="shared" si="0"/>
        <v>9550</v>
      </c>
      <c r="AO33" s="3">
        <v>70</v>
      </c>
      <c r="AP33" s="3">
        <v>70</v>
      </c>
      <c r="AQ33" s="3">
        <v>70</v>
      </c>
      <c r="AR33" s="3">
        <v>70</v>
      </c>
      <c r="AS33" s="3">
        <v>70</v>
      </c>
      <c r="AT33" s="3">
        <v>70</v>
      </c>
      <c r="AU33" s="3">
        <v>60</v>
      </c>
      <c r="AV33" s="3">
        <v>60</v>
      </c>
      <c r="AW33" s="3">
        <v>60</v>
      </c>
      <c r="AX33" s="3">
        <v>70</v>
      </c>
      <c r="AY33" s="3">
        <v>70</v>
      </c>
      <c r="AZ33" s="3">
        <v>70</v>
      </c>
      <c r="BA33" s="3"/>
      <c r="BB33" s="13">
        <f t="shared" si="1"/>
        <v>0</v>
      </c>
      <c r="BC33" s="13">
        <f t="shared" si="2"/>
        <v>0</v>
      </c>
      <c r="BD33" s="13">
        <f t="shared" si="3"/>
        <v>0</v>
      </c>
      <c r="BE33" s="13">
        <f t="shared" si="4"/>
        <v>462</v>
      </c>
      <c r="BF33" s="13">
        <f t="shared" si="5"/>
        <v>539</v>
      </c>
      <c r="BG33" s="13">
        <f t="shared" si="6"/>
        <v>539</v>
      </c>
      <c r="BH33" s="13">
        <f t="shared" si="7"/>
        <v>712.8</v>
      </c>
      <c r="BI33" s="13">
        <f t="shared" si="8"/>
        <v>734.4</v>
      </c>
      <c r="BJ33" s="13">
        <f t="shared" si="9"/>
        <v>712.8</v>
      </c>
      <c r="BK33" s="13">
        <f t="shared" si="12"/>
        <v>1117.2</v>
      </c>
      <c r="BL33" s="13">
        <f t="shared" si="54"/>
        <v>772.8</v>
      </c>
      <c r="BM33" s="13">
        <f t="shared" si="55"/>
        <v>735</v>
      </c>
    </row>
    <row r="34" spans="1:65" ht="15.75">
      <c r="A34" s="19" t="s">
        <v>39</v>
      </c>
      <c r="B34" s="3"/>
      <c r="C34" s="10">
        <f t="shared" si="13"/>
        <v>0</v>
      </c>
      <c r="D34" s="10">
        <f t="shared" si="14"/>
        <v>0</v>
      </c>
      <c r="E34" s="10">
        <f t="shared" si="15"/>
        <v>0</v>
      </c>
      <c r="F34" s="10">
        <f t="shared" si="16"/>
        <v>0</v>
      </c>
      <c r="G34" s="10">
        <f t="shared" si="17"/>
        <v>0</v>
      </c>
      <c r="H34" s="10">
        <f t="shared" si="18"/>
        <v>0</v>
      </c>
      <c r="I34" s="10">
        <f t="shared" si="19"/>
        <v>0</v>
      </c>
      <c r="J34" s="10">
        <f t="shared" si="53"/>
        <v>0</v>
      </c>
      <c r="K34" s="10">
        <f t="shared" si="21"/>
        <v>0</v>
      </c>
      <c r="L34" s="10">
        <f t="shared" si="22"/>
        <v>0</v>
      </c>
      <c r="M34" s="10">
        <f t="shared" si="23"/>
        <v>0</v>
      </c>
      <c r="N34" s="10">
        <f t="shared" si="24"/>
        <v>0</v>
      </c>
      <c r="O34" s="11"/>
      <c r="P34" s="12">
        <f>+$O$34*C34</f>
        <v>0</v>
      </c>
      <c r="Q34" s="12">
        <f>+$O$34*D34</f>
        <v>0</v>
      </c>
      <c r="R34" s="12">
        <f>+$O$34*E34</f>
        <v>0</v>
      </c>
      <c r="S34" s="12">
        <f>+$O$34*F34</f>
        <v>0</v>
      </c>
      <c r="T34" s="12">
        <f>+$O$34*G34</f>
        <v>0</v>
      </c>
      <c r="U34" s="12">
        <f>+$O$34*H34</f>
        <v>0</v>
      </c>
      <c r="V34" s="12">
        <f>+$O$34*I34</f>
        <v>0</v>
      </c>
      <c r="W34" s="12">
        <f>+$O$34*J34</f>
        <v>0</v>
      </c>
      <c r="X34" s="12">
        <f>+$O$34*K34</f>
        <v>0</v>
      </c>
      <c r="Y34" s="12">
        <f>+$O$34*L34</f>
        <v>0</v>
      </c>
      <c r="Z34" s="12">
        <f>+$O$34*M34</f>
        <v>0</v>
      </c>
      <c r="AA34" s="12">
        <f>+$O$34*N34</f>
        <v>0</v>
      </c>
      <c r="AB34" s="15">
        <v>390</v>
      </c>
      <c r="AC34" s="15">
        <v>455</v>
      </c>
      <c r="AD34" s="15">
        <v>455</v>
      </c>
      <c r="AE34" s="15">
        <v>672</v>
      </c>
      <c r="AF34" s="15">
        <v>588</v>
      </c>
      <c r="AG34" s="15">
        <v>840</v>
      </c>
      <c r="AH34" s="15">
        <v>858</v>
      </c>
      <c r="AI34" s="15">
        <v>884</v>
      </c>
      <c r="AJ34" s="15">
        <v>858</v>
      </c>
      <c r="AK34" s="15">
        <v>850</v>
      </c>
      <c r="AL34" s="15">
        <v>510</v>
      </c>
      <c r="AM34" s="15">
        <v>340</v>
      </c>
      <c r="AN34" s="14">
        <f t="shared" si="0"/>
        <v>7700</v>
      </c>
      <c r="AO34" s="3">
        <v>70</v>
      </c>
      <c r="AP34" s="3">
        <v>70</v>
      </c>
      <c r="AQ34" s="3">
        <v>70</v>
      </c>
      <c r="AR34" s="3">
        <v>70</v>
      </c>
      <c r="AS34" s="3">
        <v>70</v>
      </c>
      <c r="AT34" s="3">
        <v>70</v>
      </c>
      <c r="AU34" s="3">
        <v>60</v>
      </c>
      <c r="AV34" s="3">
        <v>60</v>
      </c>
      <c r="AW34" s="3">
        <v>60</v>
      </c>
      <c r="AX34" s="3">
        <v>70</v>
      </c>
      <c r="AY34" s="3">
        <v>70</v>
      </c>
      <c r="AZ34" s="3">
        <v>70</v>
      </c>
      <c r="BA34" s="3"/>
      <c r="BB34" s="13">
        <f t="shared" si="1"/>
        <v>273</v>
      </c>
      <c r="BC34" s="13">
        <f t="shared" si="2"/>
        <v>318.5</v>
      </c>
      <c r="BD34" s="13">
        <f t="shared" si="3"/>
        <v>318.5</v>
      </c>
      <c r="BE34" s="13">
        <f t="shared" si="4"/>
        <v>470.4</v>
      </c>
      <c r="BF34" s="13">
        <f t="shared" si="5"/>
        <v>411.6</v>
      </c>
      <c r="BG34" s="13">
        <f t="shared" si="6"/>
        <v>588</v>
      </c>
      <c r="BH34" s="13">
        <f t="shared" si="7"/>
        <v>514.8</v>
      </c>
      <c r="BI34" s="13">
        <f t="shared" si="8"/>
        <v>530.4</v>
      </c>
      <c r="BJ34" s="13">
        <f t="shared" si="9"/>
        <v>514.8</v>
      </c>
      <c r="BK34" s="13">
        <f t="shared" si="12"/>
        <v>595</v>
      </c>
      <c r="BL34" s="13">
        <f t="shared" si="54"/>
        <v>357</v>
      </c>
      <c r="BM34" s="13">
        <f t="shared" si="55"/>
        <v>238</v>
      </c>
    </row>
    <row r="35" spans="1:65" ht="15.75">
      <c r="A35" s="17" t="s">
        <v>45</v>
      </c>
      <c r="B35" s="3"/>
      <c r="C35" s="10">
        <f t="shared" si="13"/>
        <v>0</v>
      </c>
      <c r="D35" s="10">
        <f t="shared" si="14"/>
        <v>0</v>
      </c>
      <c r="E35" s="10">
        <f t="shared" si="15"/>
        <v>0</v>
      </c>
      <c r="F35" s="10">
        <f t="shared" si="16"/>
        <v>0</v>
      </c>
      <c r="G35" s="10">
        <f t="shared" si="17"/>
        <v>0</v>
      </c>
      <c r="H35" s="10">
        <f t="shared" si="18"/>
        <v>0</v>
      </c>
      <c r="I35" s="10">
        <f t="shared" si="19"/>
        <v>0</v>
      </c>
      <c r="J35" s="10">
        <f t="shared" si="53"/>
        <v>0</v>
      </c>
      <c r="K35" s="10">
        <f t="shared" si="21"/>
        <v>0</v>
      </c>
      <c r="L35" s="10">
        <f t="shared" si="22"/>
        <v>0</v>
      </c>
      <c r="M35" s="10">
        <f t="shared" si="23"/>
        <v>0</v>
      </c>
      <c r="N35" s="10">
        <f t="shared" si="24"/>
        <v>0</v>
      </c>
      <c r="O35" s="11"/>
      <c r="P35" s="12">
        <f>+$O$35*C35</f>
        <v>0</v>
      </c>
      <c r="Q35" s="12">
        <f>+$O$35*D35</f>
        <v>0</v>
      </c>
      <c r="R35" s="12">
        <f>+$O$35*E35</f>
        <v>0</v>
      </c>
      <c r="S35" s="12">
        <f>+$O$35*F35</f>
        <v>0</v>
      </c>
      <c r="T35" s="12">
        <f>+$O$35*G35</f>
        <v>0</v>
      </c>
      <c r="U35" s="12">
        <f>+$O$35*H35</f>
        <v>0</v>
      </c>
      <c r="V35" s="12">
        <f>+$O$35*I35</f>
        <v>0</v>
      </c>
      <c r="W35" s="12">
        <f>+$O$35*J35</f>
        <v>0</v>
      </c>
      <c r="X35" s="12">
        <f>+$O$35*K35</f>
        <v>0</v>
      </c>
      <c r="Y35" s="12">
        <f>+$O$35*L35</f>
        <v>0</v>
      </c>
      <c r="Z35" s="12">
        <f>+$O$35*M35</f>
        <v>0</v>
      </c>
      <c r="AA35" s="12">
        <f>+$O$35*N35</f>
        <v>0</v>
      </c>
      <c r="AB35" s="15"/>
      <c r="AC35" s="15"/>
      <c r="AD35" s="15"/>
      <c r="AE35" s="15">
        <v>660</v>
      </c>
      <c r="AF35" s="15">
        <v>770</v>
      </c>
      <c r="AG35" s="15">
        <v>770</v>
      </c>
      <c r="AH35" s="15">
        <v>1188</v>
      </c>
      <c r="AI35" s="15">
        <v>1224</v>
      </c>
      <c r="AJ35" s="15">
        <v>1188</v>
      </c>
      <c r="AK35" s="15">
        <v>1440</v>
      </c>
      <c r="AL35" s="15">
        <v>1080</v>
      </c>
      <c r="AM35" s="15">
        <v>1080</v>
      </c>
      <c r="AN35" s="14">
        <f t="shared" si="0"/>
        <v>9400</v>
      </c>
      <c r="AO35" s="3">
        <v>70</v>
      </c>
      <c r="AP35" s="3">
        <v>70</v>
      </c>
      <c r="AQ35" s="3">
        <v>70</v>
      </c>
      <c r="AR35" s="3">
        <v>70</v>
      </c>
      <c r="AS35" s="3">
        <v>70</v>
      </c>
      <c r="AT35" s="3">
        <v>70</v>
      </c>
      <c r="AU35" s="3">
        <v>60</v>
      </c>
      <c r="AV35" s="3">
        <v>60</v>
      </c>
      <c r="AW35" s="3">
        <v>60</v>
      </c>
      <c r="AX35" s="3">
        <v>70</v>
      </c>
      <c r="AY35" s="3">
        <v>70</v>
      </c>
      <c r="AZ35" s="3">
        <v>70</v>
      </c>
      <c r="BA35" s="3"/>
      <c r="BB35" s="13">
        <f t="shared" si="1"/>
        <v>0</v>
      </c>
      <c r="BC35" s="13">
        <f t="shared" si="2"/>
        <v>0</v>
      </c>
      <c r="BD35" s="13">
        <f t="shared" si="3"/>
        <v>0</v>
      </c>
      <c r="BE35" s="13">
        <f t="shared" si="4"/>
        <v>462</v>
      </c>
      <c r="BF35" s="13">
        <f t="shared" si="5"/>
        <v>539</v>
      </c>
      <c r="BG35" s="13">
        <f t="shared" si="6"/>
        <v>539</v>
      </c>
      <c r="BH35" s="13">
        <f t="shared" si="7"/>
        <v>712.8</v>
      </c>
      <c r="BI35" s="13">
        <f t="shared" si="8"/>
        <v>734.4</v>
      </c>
      <c r="BJ35" s="13">
        <f t="shared" si="9"/>
        <v>712.8</v>
      </c>
      <c r="BK35" s="13">
        <f t="shared" si="12"/>
        <v>1008</v>
      </c>
      <c r="BL35" s="13">
        <f t="shared" si="54"/>
        <v>756</v>
      </c>
      <c r="BM35" s="13">
        <f t="shared" si="55"/>
        <v>756</v>
      </c>
    </row>
    <row r="36" spans="1:65" ht="15.75">
      <c r="A36" s="19" t="s">
        <v>39</v>
      </c>
      <c r="B36" s="3"/>
      <c r="C36" s="10">
        <f t="shared" si="13"/>
        <v>0</v>
      </c>
      <c r="D36" s="10">
        <f t="shared" si="14"/>
        <v>0</v>
      </c>
      <c r="E36" s="10">
        <f t="shared" si="15"/>
        <v>0</v>
      </c>
      <c r="F36" s="10">
        <f t="shared" si="16"/>
        <v>0</v>
      </c>
      <c r="G36" s="10">
        <f t="shared" si="17"/>
        <v>0</v>
      </c>
      <c r="H36" s="10">
        <f t="shared" si="18"/>
        <v>0</v>
      </c>
      <c r="I36" s="10">
        <f t="shared" si="19"/>
        <v>0</v>
      </c>
      <c r="J36" s="10">
        <f t="shared" si="53"/>
        <v>0</v>
      </c>
      <c r="K36" s="10">
        <f t="shared" si="21"/>
        <v>0</v>
      </c>
      <c r="L36" s="10">
        <f t="shared" si="22"/>
        <v>0</v>
      </c>
      <c r="M36" s="10">
        <f t="shared" si="23"/>
        <v>0</v>
      </c>
      <c r="N36" s="10">
        <f t="shared" si="24"/>
        <v>0</v>
      </c>
      <c r="O36" s="11"/>
      <c r="P36" s="12">
        <f>+$O$36*C36</f>
        <v>0</v>
      </c>
      <c r="Q36" s="12">
        <f>+$O$36*D36</f>
        <v>0</v>
      </c>
      <c r="R36" s="12">
        <f>+$O$36*E36</f>
        <v>0</v>
      </c>
      <c r="S36" s="12">
        <f>+$O$36*F36</f>
        <v>0</v>
      </c>
      <c r="T36" s="12">
        <f>+$O$36*G36</f>
        <v>0</v>
      </c>
      <c r="U36" s="12">
        <f>+$O$36*H36</f>
        <v>0</v>
      </c>
      <c r="V36" s="12">
        <f>+$O$36*I36</f>
        <v>0</v>
      </c>
      <c r="W36" s="12">
        <f>+$O$36*J36</f>
        <v>0</v>
      </c>
      <c r="X36" s="12">
        <f>+$O$36*K36</f>
        <v>0</v>
      </c>
      <c r="Y36" s="12">
        <f>+$O$36*L36</f>
        <v>0</v>
      </c>
      <c r="Z36" s="12">
        <f>+$O$36*M36</f>
        <v>0</v>
      </c>
      <c r="AA36" s="12">
        <f>+$O$36*N36</f>
        <v>0</v>
      </c>
      <c r="AB36" s="15">
        <v>455</v>
      </c>
      <c r="AC36" s="15">
        <v>455</v>
      </c>
      <c r="AD36" s="15">
        <v>390</v>
      </c>
      <c r="AE36" s="15">
        <v>672</v>
      </c>
      <c r="AF36" s="15">
        <v>588</v>
      </c>
      <c r="AG36" s="15">
        <v>840</v>
      </c>
      <c r="AH36" s="15">
        <v>1122</v>
      </c>
      <c r="AI36" s="15">
        <v>1156</v>
      </c>
      <c r="AJ36" s="15">
        <v>1122</v>
      </c>
      <c r="AK36" s="15">
        <v>840</v>
      </c>
      <c r="AL36" s="15">
        <v>735</v>
      </c>
      <c r="AM36" s="15">
        <v>525</v>
      </c>
      <c r="AN36" s="14">
        <f t="shared" si="0"/>
        <v>8900</v>
      </c>
      <c r="AO36" s="3">
        <v>70</v>
      </c>
      <c r="AP36" s="3">
        <v>70</v>
      </c>
      <c r="AQ36" s="3">
        <v>70</v>
      </c>
      <c r="AR36" s="3">
        <v>70</v>
      </c>
      <c r="AS36" s="3">
        <v>70</v>
      </c>
      <c r="AT36" s="3">
        <v>70</v>
      </c>
      <c r="AU36" s="3">
        <v>60</v>
      </c>
      <c r="AV36" s="3">
        <v>60</v>
      </c>
      <c r="AW36" s="3">
        <v>60</v>
      </c>
      <c r="AX36" s="3">
        <v>70</v>
      </c>
      <c r="AY36" s="3">
        <v>70</v>
      </c>
      <c r="AZ36" s="3">
        <v>70</v>
      </c>
      <c r="BA36" s="3"/>
      <c r="BB36" s="13">
        <f t="shared" si="1"/>
        <v>318.5</v>
      </c>
      <c r="BC36" s="13">
        <f t="shared" si="2"/>
        <v>318.5</v>
      </c>
      <c r="BD36" s="13">
        <f t="shared" si="3"/>
        <v>273</v>
      </c>
      <c r="BE36" s="13">
        <f t="shared" si="4"/>
        <v>470.4</v>
      </c>
      <c r="BF36" s="13">
        <f t="shared" si="5"/>
        <v>411.6</v>
      </c>
      <c r="BG36" s="13">
        <f t="shared" si="6"/>
        <v>588</v>
      </c>
      <c r="BH36" s="13">
        <f t="shared" si="7"/>
        <v>673.2</v>
      </c>
      <c r="BI36" s="13">
        <f t="shared" si="8"/>
        <v>693.6</v>
      </c>
      <c r="BJ36" s="13">
        <f t="shared" si="9"/>
        <v>673.2</v>
      </c>
      <c r="BK36" s="13">
        <f t="shared" si="12"/>
        <v>588</v>
      </c>
      <c r="BL36" s="13">
        <f t="shared" si="54"/>
        <v>514.5</v>
      </c>
      <c r="BM36" s="13">
        <f t="shared" si="55"/>
        <v>367.5</v>
      </c>
    </row>
    <row r="37" spans="1:65" ht="15.75">
      <c r="A37" s="17" t="s">
        <v>46</v>
      </c>
      <c r="B37" s="3"/>
      <c r="C37" s="10">
        <f t="shared" si="13"/>
        <v>0</v>
      </c>
      <c r="D37" s="10">
        <f t="shared" si="14"/>
        <v>0</v>
      </c>
      <c r="E37" s="10">
        <f t="shared" si="15"/>
        <v>0</v>
      </c>
      <c r="F37" s="10">
        <f t="shared" si="16"/>
        <v>0</v>
      </c>
      <c r="G37" s="10">
        <f t="shared" si="17"/>
        <v>0</v>
      </c>
      <c r="H37" s="10">
        <f t="shared" si="18"/>
        <v>0</v>
      </c>
      <c r="I37" s="10">
        <f t="shared" si="19"/>
        <v>0</v>
      </c>
      <c r="J37" s="10">
        <f t="shared" si="53"/>
        <v>0</v>
      </c>
      <c r="K37" s="10">
        <f t="shared" si="21"/>
        <v>0</v>
      </c>
      <c r="L37" s="10">
        <f t="shared" si="22"/>
        <v>0</v>
      </c>
      <c r="M37" s="10">
        <f t="shared" si="23"/>
        <v>0</v>
      </c>
      <c r="N37" s="10">
        <f t="shared" si="24"/>
        <v>0</v>
      </c>
      <c r="O37" s="11"/>
      <c r="P37" s="12">
        <f>+$O$37*C37</f>
        <v>0</v>
      </c>
      <c r="Q37" s="12">
        <f>+$O$37*D37</f>
        <v>0</v>
      </c>
      <c r="R37" s="12">
        <f>+$O$37*E37</f>
        <v>0</v>
      </c>
      <c r="S37" s="12">
        <f>+$O$37*F37</f>
        <v>0</v>
      </c>
      <c r="T37" s="12">
        <f>+$O$37*G37</f>
        <v>0</v>
      </c>
      <c r="U37" s="12">
        <f>+$O$37*H37</f>
        <v>0</v>
      </c>
      <c r="V37" s="12">
        <f>+$O$37*I37</f>
        <v>0</v>
      </c>
      <c r="W37" s="12">
        <f>+$O$37*J37</f>
        <v>0</v>
      </c>
      <c r="X37" s="12">
        <f>+$O$37*K37</f>
        <v>0</v>
      </c>
      <c r="Y37" s="12">
        <f>+$O$37*L37</f>
        <v>0</v>
      </c>
      <c r="Z37" s="12">
        <f>+$O$37*M37</f>
        <v>0</v>
      </c>
      <c r="AA37" s="12">
        <f>+$O$37*N37</f>
        <v>0</v>
      </c>
      <c r="AB37" s="15"/>
      <c r="AC37" s="15">
        <v>400</v>
      </c>
      <c r="AD37" s="15">
        <v>400</v>
      </c>
      <c r="AE37" s="15">
        <v>638</v>
      </c>
      <c r="AF37" s="15">
        <v>638</v>
      </c>
      <c r="AG37" s="15">
        <v>924</v>
      </c>
      <c r="AH37" s="15">
        <v>1155</v>
      </c>
      <c r="AI37" s="15">
        <v>1155</v>
      </c>
      <c r="AJ37" s="15">
        <v>1190</v>
      </c>
      <c r="AK37" s="15">
        <v>950</v>
      </c>
      <c r="AL37" s="15">
        <v>875</v>
      </c>
      <c r="AM37" s="15">
        <v>875</v>
      </c>
      <c r="AN37" s="14">
        <f t="shared" si="0"/>
        <v>9200</v>
      </c>
      <c r="AO37" s="3">
        <v>70</v>
      </c>
      <c r="AP37" s="3">
        <v>70</v>
      </c>
      <c r="AQ37" s="3">
        <v>70</v>
      </c>
      <c r="AR37" s="3">
        <v>70</v>
      </c>
      <c r="AS37" s="3">
        <v>70</v>
      </c>
      <c r="AT37" s="3">
        <v>70</v>
      </c>
      <c r="AU37" s="3">
        <v>60</v>
      </c>
      <c r="AV37" s="3">
        <v>60</v>
      </c>
      <c r="AW37" s="3">
        <v>60</v>
      </c>
      <c r="AX37" s="3">
        <v>70</v>
      </c>
      <c r="AY37" s="3">
        <v>70</v>
      </c>
      <c r="AZ37" s="3">
        <v>70</v>
      </c>
      <c r="BA37" s="3"/>
      <c r="BB37" s="13">
        <f t="shared" si="1"/>
        <v>0</v>
      </c>
      <c r="BC37" s="13">
        <f t="shared" si="2"/>
        <v>280</v>
      </c>
      <c r="BD37" s="13">
        <f t="shared" si="3"/>
        <v>280</v>
      </c>
      <c r="BE37" s="13">
        <f t="shared" si="4"/>
        <v>446.6</v>
      </c>
      <c r="BF37" s="13">
        <f t="shared" si="5"/>
        <v>446.6</v>
      </c>
      <c r="BG37" s="13">
        <f t="shared" si="6"/>
        <v>646.8</v>
      </c>
      <c r="BH37" s="13">
        <f t="shared" si="7"/>
        <v>693</v>
      </c>
      <c r="BI37" s="13">
        <f t="shared" si="8"/>
        <v>693</v>
      </c>
      <c r="BJ37" s="13">
        <f t="shared" si="9"/>
        <v>714</v>
      </c>
      <c r="BK37" s="13">
        <f t="shared" si="12"/>
        <v>665</v>
      </c>
      <c r="BL37" s="13">
        <f t="shared" si="54"/>
        <v>612.5</v>
      </c>
      <c r="BM37" s="13">
        <f t="shared" si="55"/>
        <v>612.5</v>
      </c>
    </row>
    <row r="38" spans="1:65" ht="15.75">
      <c r="A38" s="19" t="s">
        <v>39</v>
      </c>
      <c r="B38" s="3"/>
      <c r="C38" s="10">
        <f t="shared" si="13"/>
        <v>0</v>
      </c>
      <c r="D38" s="10">
        <f t="shared" si="14"/>
        <v>0</v>
      </c>
      <c r="E38" s="10">
        <f t="shared" si="15"/>
        <v>0</v>
      </c>
      <c r="F38" s="10">
        <f t="shared" si="16"/>
        <v>0</v>
      </c>
      <c r="G38" s="10">
        <f t="shared" si="17"/>
        <v>0</v>
      </c>
      <c r="H38" s="10">
        <f t="shared" si="18"/>
        <v>0</v>
      </c>
      <c r="I38" s="10">
        <f t="shared" si="19"/>
        <v>0</v>
      </c>
      <c r="J38" s="10">
        <f t="shared" si="53"/>
        <v>0</v>
      </c>
      <c r="K38" s="10">
        <f t="shared" si="21"/>
        <v>0</v>
      </c>
      <c r="L38" s="10">
        <f t="shared" si="22"/>
        <v>0</v>
      </c>
      <c r="M38" s="10">
        <f t="shared" si="23"/>
        <v>0</v>
      </c>
      <c r="N38" s="10">
        <f t="shared" si="24"/>
        <v>0</v>
      </c>
      <c r="O38" s="11"/>
      <c r="P38" s="12">
        <f>+$O$38*C38</f>
        <v>0</v>
      </c>
      <c r="Q38" s="12">
        <f>+$O$38*D38</f>
        <v>0</v>
      </c>
      <c r="R38" s="12">
        <f>+$O$38*E38</f>
        <v>0</v>
      </c>
      <c r="S38" s="12">
        <f>+$O$38*F38</f>
        <v>0</v>
      </c>
      <c r="T38" s="12">
        <f>+$O$38*G38</f>
        <v>0</v>
      </c>
      <c r="U38" s="12">
        <f>+$O$38*H38</f>
        <v>0</v>
      </c>
      <c r="V38" s="12">
        <f>+$O$38*I38</f>
        <v>0</v>
      </c>
      <c r="W38" s="12">
        <f>+$O$38*J38</f>
        <v>0</v>
      </c>
      <c r="X38" s="12">
        <f>+$O$38*K38</f>
        <v>0</v>
      </c>
      <c r="Y38" s="12">
        <f>+$O$38*L38</f>
        <v>0</v>
      </c>
      <c r="Z38" s="12">
        <f>+$O$38*M38</f>
        <v>0</v>
      </c>
      <c r="AA38" s="12">
        <f>+$O$38*N38</f>
        <v>0</v>
      </c>
      <c r="AB38" s="15">
        <v>350</v>
      </c>
      <c r="AC38" s="15">
        <v>350</v>
      </c>
      <c r="AD38" s="15">
        <v>300</v>
      </c>
      <c r="AE38" s="15">
        <v>672</v>
      </c>
      <c r="AF38" s="15">
        <v>588</v>
      </c>
      <c r="AG38" s="15">
        <v>840</v>
      </c>
      <c r="AH38" s="15">
        <v>858</v>
      </c>
      <c r="AI38" s="15">
        <v>858</v>
      </c>
      <c r="AJ38" s="15">
        <v>884</v>
      </c>
      <c r="AK38" s="15">
        <v>850</v>
      </c>
      <c r="AL38" s="15">
        <v>510</v>
      </c>
      <c r="AM38" s="15">
        <v>340</v>
      </c>
      <c r="AN38" s="14">
        <f t="shared" si="0"/>
        <v>7400</v>
      </c>
      <c r="AO38" s="3">
        <v>70</v>
      </c>
      <c r="AP38" s="3">
        <v>70</v>
      </c>
      <c r="AQ38" s="3">
        <v>70</v>
      </c>
      <c r="AR38" s="3">
        <v>70</v>
      </c>
      <c r="AS38" s="3">
        <v>70</v>
      </c>
      <c r="AT38" s="3">
        <v>70</v>
      </c>
      <c r="AU38" s="3">
        <v>60</v>
      </c>
      <c r="AV38" s="3">
        <v>60</v>
      </c>
      <c r="AW38" s="3">
        <v>60</v>
      </c>
      <c r="AX38" s="3">
        <v>70</v>
      </c>
      <c r="AY38" s="3">
        <v>70</v>
      </c>
      <c r="AZ38" s="3">
        <v>70</v>
      </c>
      <c r="BA38" s="3"/>
      <c r="BB38" s="13">
        <f t="shared" si="1"/>
        <v>245</v>
      </c>
      <c r="BC38" s="13">
        <f t="shared" si="2"/>
        <v>245</v>
      </c>
      <c r="BD38" s="13">
        <f t="shared" si="3"/>
        <v>210</v>
      </c>
      <c r="BE38" s="13">
        <f t="shared" si="4"/>
        <v>470.4</v>
      </c>
      <c r="BF38" s="13">
        <f t="shared" si="5"/>
        <v>411.6</v>
      </c>
      <c r="BG38" s="13">
        <f t="shared" si="6"/>
        <v>588</v>
      </c>
      <c r="BH38" s="13">
        <f t="shared" si="7"/>
        <v>514.8</v>
      </c>
      <c r="BI38" s="13">
        <f t="shared" si="8"/>
        <v>514.8</v>
      </c>
      <c r="BJ38" s="13">
        <f t="shared" si="9"/>
        <v>530.4</v>
      </c>
      <c r="BK38" s="13">
        <f t="shared" si="12"/>
        <v>595</v>
      </c>
      <c r="BL38" s="13">
        <f t="shared" si="54"/>
        <v>357</v>
      </c>
      <c r="BM38" s="13">
        <f t="shared" si="55"/>
        <v>238</v>
      </c>
    </row>
    <row r="39" spans="1:65" ht="15.75">
      <c r="A39" s="17" t="s">
        <v>47</v>
      </c>
      <c r="B39" s="3"/>
      <c r="C39" s="10">
        <f t="shared" si="13"/>
        <v>0</v>
      </c>
      <c r="D39" s="10">
        <f t="shared" si="14"/>
        <v>0</v>
      </c>
      <c r="E39" s="10">
        <f t="shared" si="15"/>
        <v>0</v>
      </c>
      <c r="F39" s="10">
        <f t="shared" si="16"/>
        <v>0</v>
      </c>
      <c r="G39" s="10">
        <f t="shared" si="17"/>
        <v>0</v>
      </c>
      <c r="H39" s="10">
        <f t="shared" si="18"/>
        <v>0</v>
      </c>
      <c r="I39" s="10">
        <f t="shared" si="19"/>
        <v>0</v>
      </c>
      <c r="J39" s="10">
        <f t="shared" si="53"/>
        <v>0</v>
      </c>
      <c r="K39" s="10">
        <f t="shared" si="21"/>
        <v>0</v>
      </c>
      <c r="L39" s="10">
        <f t="shared" si="22"/>
        <v>0</v>
      </c>
      <c r="M39" s="10">
        <f t="shared" si="23"/>
        <v>0</v>
      </c>
      <c r="N39" s="10">
        <f t="shared" si="24"/>
        <v>0</v>
      </c>
      <c r="O39" s="11"/>
      <c r="P39" s="12">
        <f>+$O$39*C39</f>
        <v>0</v>
      </c>
      <c r="Q39" s="12">
        <f>+$O$39*D39</f>
        <v>0</v>
      </c>
      <c r="R39" s="12">
        <f>+$O$39*E39</f>
        <v>0</v>
      </c>
      <c r="S39" s="12">
        <f>+$O$39*F39</f>
        <v>0</v>
      </c>
      <c r="T39" s="12">
        <f>+$O$39*G39</f>
        <v>0</v>
      </c>
      <c r="U39" s="12">
        <f>+$O$39*H39</f>
        <v>0</v>
      </c>
      <c r="V39" s="12">
        <f>+$O$39*I39</f>
        <v>0</v>
      </c>
      <c r="W39" s="12">
        <f>+$O$39*J39</f>
        <v>0</v>
      </c>
      <c r="X39" s="12">
        <f>+$O$39*K39</f>
        <v>0</v>
      </c>
      <c r="Y39" s="12">
        <f>+$O$39*L39</f>
        <v>0</v>
      </c>
      <c r="Z39" s="12">
        <f>+$O$39*M39</f>
        <v>0</v>
      </c>
      <c r="AA39" s="12">
        <f>+$O$39*N39</f>
        <v>0</v>
      </c>
      <c r="AB39">
        <v>0</v>
      </c>
      <c r="AC39" s="15">
        <v>0</v>
      </c>
      <c r="AD39" s="15">
        <v>0</v>
      </c>
      <c r="AE39" s="15">
        <v>300</v>
      </c>
      <c r="AF39" s="15">
        <v>250</v>
      </c>
      <c r="AG39" s="15">
        <v>200</v>
      </c>
      <c r="AH39" s="15">
        <v>1000</v>
      </c>
      <c r="AI39" s="15">
        <v>1100</v>
      </c>
      <c r="AJ39" s="15">
        <v>1100</v>
      </c>
      <c r="AK39" s="15">
        <v>400</v>
      </c>
      <c r="AL39" s="15">
        <v>300</v>
      </c>
      <c r="AM39" s="15">
        <v>200</v>
      </c>
      <c r="AN39" s="14">
        <f t="shared" si="0"/>
        <v>4850</v>
      </c>
      <c r="AO39" s="3">
        <v>70</v>
      </c>
      <c r="AP39" s="3">
        <v>70</v>
      </c>
      <c r="AQ39" s="3">
        <v>70</v>
      </c>
      <c r="AR39" s="3">
        <v>70</v>
      </c>
      <c r="AS39" s="3">
        <v>70</v>
      </c>
      <c r="AT39" s="3">
        <v>70</v>
      </c>
      <c r="AU39" s="3">
        <v>60</v>
      </c>
      <c r="AV39" s="3">
        <v>60</v>
      </c>
      <c r="AW39" s="3">
        <v>60</v>
      </c>
      <c r="AX39" s="3">
        <v>70</v>
      </c>
      <c r="AY39" s="3">
        <v>70</v>
      </c>
      <c r="AZ39" s="3">
        <v>70</v>
      </c>
      <c r="BA39" s="3"/>
      <c r="BB39" s="13">
        <f t="shared" si="1"/>
        <v>0</v>
      </c>
      <c r="BC39" s="13">
        <f t="shared" si="2"/>
        <v>0</v>
      </c>
      <c r="BD39" s="13">
        <f t="shared" si="3"/>
        <v>0</v>
      </c>
      <c r="BE39" s="13">
        <f t="shared" si="4"/>
        <v>210</v>
      </c>
      <c r="BF39" s="13">
        <f t="shared" si="5"/>
        <v>175</v>
      </c>
      <c r="BG39" s="13">
        <f t="shared" si="6"/>
        <v>140</v>
      </c>
      <c r="BH39" s="13">
        <f t="shared" si="7"/>
        <v>600</v>
      </c>
      <c r="BI39" s="13">
        <f t="shared" si="8"/>
        <v>660</v>
      </c>
      <c r="BJ39" s="13">
        <f t="shared" si="9"/>
        <v>660</v>
      </c>
      <c r="BK39" s="13">
        <f t="shared" si="12"/>
        <v>280</v>
      </c>
      <c r="BL39" s="13">
        <f t="shared" si="54"/>
        <v>210</v>
      </c>
      <c r="BM39" s="13">
        <f t="shared" si="55"/>
        <v>140</v>
      </c>
    </row>
    <row r="40" spans="1:65" ht="15.75">
      <c r="A40" s="19" t="s">
        <v>39</v>
      </c>
      <c r="B40" s="3"/>
      <c r="C40" s="10">
        <f t="shared" si="13"/>
        <v>0</v>
      </c>
      <c r="D40" s="10">
        <f t="shared" si="14"/>
        <v>0</v>
      </c>
      <c r="E40" s="10">
        <f t="shared" si="15"/>
        <v>0</v>
      </c>
      <c r="F40" s="10">
        <f t="shared" si="16"/>
        <v>0</v>
      </c>
      <c r="G40" s="10">
        <f t="shared" si="17"/>
        <v>0</v>
      </c>
      <c r="H40" s="10">
        <f t="shared" si="18"/>
        <v>0</v>
      </c>
      <c r="I40" s="10">
        <f t="shared" si="19"/>
        <v>0</v>
      </c>
      <c r="J40" s="10">
        <f t="shared" si="53"/>
        <v>0</v>
      </c>
      <c r="K40" s="10">
        <f t="shared" si="21"/>
        <v>0</v>
      </c>
      <c r="L40" s="10">
        <f t="shared" si="22"/>
        <v>0</v>
      </c>
      <c r="M40" s="10">
        <f t="shared" si="23"/>
        <v>0</v>
      </c>
      <c r="N40" s="10">
        <f t="shared" si="24"/>
        <v>0</v>
      </c>
      <c r="O40" s="11"/>
      <c r="P40" s="12">
        <f>+$O$40*C40</f>
        <v>0</v>
      </c>
      <c r="Q40" s="12">
        <f>+$O$40*D40</f>
        <v>0</v>
      </c>
      <c r="R40" s="12">
        <f>+$O$40*E40</f>
        <v>0</v>
      </c>
      <c r="S40" s="12">
        <f>+$O$40*F40</f>
        <v>0</v>
      </c>
      <c r="T40" s="12">
        <f>+$O$40*G40</f>
        <v>0</v>
      </c>
      <c r="U40" s="12">
        <f>+$O$40*H40</f>
        <v>0</v>
      </c>
      <c r="V40" s="12">
        <f>+$O$40*I40</f>
        <v>0</v>
      </c>
      <c r="W40" s="12">
        <f>+$O$40*J40</f>
        <v>0</v>
      </c>
      <c r="X40" s="12">
        <f>+$O$40*K40</f>
        <v>0</v>
      </c>
      <c r="Y40" s="12">
        <f>+$O$40*L40</f>
        <v>0</v>
      </c>
      <c r="Z40" s="12">
        <f>+$O$40*M40</f>
        <v>0</v>
      </c>
      <c r="AA40" s="12">
        <f>+$O$40*N40</f>
        <v>0</v>
      </c>
      <c r="AB40" s="15">
        <v>580</v>
      </c>
      <c r="AC40" s="15">
        <v>680</v>
      </c>
      <c r="AD40" s="15">
        <v>740</v>
      </c>
      <c r="AE40" s="15">
        <v>576</v>
      </c>
      <c r="AF40" s="15">
        <v>504</v>
      </c>
      <c r="AG40" s="15">
        <v>720</v>
      </c>
      <c r="AH40" s="15">
        <v>1316</v>
      </c>
      <c r="AI40" s="15">
        <v>1161</v>
      </c>
      <c r="AJ40" s="15">
        <v>1161</v>
      </c>
      <c r="AK40" s="15">
        <v>608</v>
      </c>
      <c r="AL40" s="15">
        <v>419</v>
      </c>
      <c r="AM40" s="15">
        <v>324</v>
      </c>
      <c r="AN40" s="14">
        <f t="shared" si="0"/>
        <v>8789</v>
      </c>
      <c r="AO40" s="3">
        <v>70</v>
      </c>
      <c r="AP40" s="3">
        <v>70</v>
      </c>
      <c r="AQ40" s="3">
        <v>70</v>
      </c>
      <c r="AR40" s="3">
        <v>70</v>
      </c>
      <c r="AS40" s="3">
        <v>70</v>
      </c>
      <c r="AT40" s="3">
        <v>70</v>
      </c>
      <c r="AU40" s="3">
        <v>60</v>
      </c>
      <c r="AV40" s="3">
        <v>60</v>
      </c>
      <c r="AW40" s="3">
        <v>60</v>
      </c>
      <c r="AX40" s="3">
        <v>70</v>
      </c>
      <c r="AY40" s="3">
        <v>70</v>
      </c>
      <c r="AZ40" s="3">
        <v>70</v>
      </c>
      <c r="BA40" s="3"/>
      <c r="BB40" s="13">
        <f t="shared" si="1"/>
        <v>406</v>
      </c>
      <c r="BC40" s="13">
        <f t="shared" si="2"/>
        <v>476</v>
      </c>
      <c r="BD40" s="13">
        <f t="shared" si="3"/>
        <v>518</v>
      </c>
      <c r="BE40" s="13">
        <f t="shared" si="4"/>
        <v>403.2</v>
      </c>
      <c r="BF40" s="13">
        <f t="shared" si="5"/>
        <v>352.8</v>
      </c>
      <c r="BG40" s="13">
        <f t="shared" si="6"/>
        <v>504</v>
      </c>
      <c r="BH40" s="13">
        <f t="shared" si="7"/>
        <v>789.6</v>
      </c>
      <c r="BI40" s="13">
        <f t="shared" si="8"/>
        <v>696.6</v>
      </c>
      <c r="BJ40" s="13">
        <f t="shared" si="9"/>
        <v>696.6</v>
      </c>
      <c r="BK40" s="13">
        <f t="shared" si="12"/>
        <v>425.6</v>
      </c>
      <c r="BL40" s="13">
        <f t="shared" si="54"/>
        <v>293.3</v>
      </c>
      <c r="BM40" s="13">
        <f t="shared" si="55"/>
        <v>226.8</v>
      </c>
    </row>
    <row r="41" spans="1:65" ht="15.75">
      <c r="A41" s="19" t="s">
        <v>48</v>
      </c>
      <c r="B41" s="3"/>
      <c r="C41" s="10">
        <f t="shared" si="13"/>
        <v>0</v>
      </c>
      <c r="D41" s="10">
        <f t="shared" si="14"/>
        <v>0</v>
      </c>
      <c r="E41" s="10">
        <f t="shared" si="15"/>
        <v>0</v>
      </c>
      <c r="F41" s="10">
        <f t="shared" si="16"/>
        <v>0</v>
      </c>
      <c r="G41" s="10">
        <f t="shared" si="17"/>
        <v>0</v>
      </c>
      <c r="H41" s="10">
        <f t="shared" si="18"/>
        <v>0</v>
      </c>
      <c r="I41" s="10">
        <f t="shared" si="19"/>
        <v>0</v>
      </c>
      <c r="J41" s="10">
        <f t="shared" si="53"/>
        <v>0</v>
      </c>
      <c r="K41" s="10">
        <f t="shared" si="21"/>
        <v>0</v>
      </c>
      <c r="L41" s="10">
        <f t="shared" si="22"/>
        <v>0</v>
      </c>
      <c r="M41" s="10">
        <f t="shared" si="23"/>
        <v>0</v>
      </c>
      <c r="N41" s="10">
        <f t="shared" si="24"/>
        <v>0</v>
      </c>
      <c r="O41" s="11"/>
      <c r="P41" s="12">
        <f>+$O$41*C41</f>
        <v>0</v>
      </c>
      <c r="Q41" s="12">
        <f>+$O$41*D41</f>
        <v>0</v>
      </c>
      <c r="R41" s="12">
        <f>+$O$41*E41</f>
        <v>0</v>
      </c>
      <c r="S41" s="12">
        <f>+$O$41*F41</f>
        <v>0</v>
      </c>
      <c r="T41" s="12">
        <f>+$O$41*G41</f>
        <v>0</v>
      </c>
      <c r="U41" s="12">
        <f>+$O$41*H41</f>
        <v>0</v>
      </c>
      <c r="V41" s="12">
        <f>+$O$41*I41</f>
        <v>0</v>
      </c>
      <c r="W41" s="12">
        <f>+$O$41*J41</f>
        <v>0</v>
      </c>
      <c r="X41" s="12">
        <f>+$O$41*K41</f>
        <v>0</v>
      </c>
      <c r="Y41" s="12">
        <f>+$O$41*L41</f>
        <v>0</v>
      </c>
      <c r="Z41" s="12">
        <f>+$O$41*M41</f>
        <v>0</v>
      </c>
      <c r="AA41" s="12">
        <f>+$O$41*N41</f>
        <v>0</v>
      </c>
      <c r="AB41" s="15">
        <v>377</v>
      </c>
      <c r="AC41" s="15">
        <v>442</v>
      </c>
      <c r="AD41" s="15">
        <v>481</v>
      </c>
      <c r="AE41" s="15">
        <v>320</v>
      </c>
      <c r="AF41" s="15">
        <v>280</v>
      </c>
      <c r="AG41" s="15">
        <v>400</v>
      </c>
      <c r="AH41" s="15">
        <v>1105</v>
      </c>
      <c r="AI41" s="15">
        <v>1170</v>
      </c>
      <c r="AJ41" s="15">
        <v>975</v>
      </c>
      <c r="AK41" s="15">
        <v>410</v>
      </c>
      <c r="AL41" s="15">
        <v>282</v>
      </c>
      <c r="AM41" s="15">
        <v>218</v>
      </c>
      <c r="AN41" s="14">
        <f t="shared" si="0"/>
        <v>6460</v>
      </c>
      <c r="AO41" s="3">
        <v>70</v>
      </c>
      <c r="AP41" s="3">
        <v>70</v>
      </c>
      <c r="AQ41" s="3">
        <v>70</v>
      </c>
      <c r="AR41" s="3">
        <v>70</v>
      </c>
      <c r="AS41" s="3">
        <v>70</v>
      </c>
      <c r="AT41" s="3">
        <v>70</v>
      </c>
      <c r="AU41" s="3">
        <v>60</v>
      </c>
      <c r="AV41" s="3">
        <v>60</v>
      </c>
      <c r="AW41" s="3">
        <v>60</v>
      </c>
      <c r="AX41" s="3">
        <v>70</v>
      </c>
      <c r="AY41" s="3">
        <v>70</v>
      </c>
      <c r="AZ41" s="3">
        <v>70</v>
      </c>
      <c r="BA41" s="3"/>
      <c r="BB41" s="13">
        <f t="shared" si="1"/>
        <v>263.9</v>
      </c>
      <c r="BC41" s="13">
        <f t="shared" si="2"/>
        <v>309.4</v>
      </c>
      <c r="BD41" s="13">
        <f t="shared" si="3"/>
        <v>336.7</v>
      </c>
      <c r="BE41" s="13">
        <f t="shared" si="4"/>
        <v>224</v>
      </c>
      <c r="BF41" s="13">
        <f t="shared" si="5"/>
        <v>196</v>
      </c>
      <c r="BG41" s="13">
        <f t="shared" si="6"/>
        <v>280</v>
      </c>
      <c r="BH41" s="13">
        <f t="shared" si="7"/>
        <v>663</v>
      </c>
      <c r="BI41" s="13">
        <f t="shared" si="8"/>
        <v>702</v>
      </c>
      <c r="BJ41" s="13">
        <f t="shared" si="9"/>
        <v>585</v>
      </c>
      <c r="BK41" s="13">
        <f t="shared" si="12"/>
        <v>287</v>
      </c>
      <c r="BL41" s="13">
        <f t="shared" si="54"/>
        <v>197.4</v>
      </c>
      <c r="BM41" s="13">
        <f t="shared" si="55"/>
        <v>152.6</v>
      </c>
    </row>
    <row r="42" spans="1:65" ht="15.75">
      <c r="A42" s="19" t="s">
        <v>41</v>
      </c>
      <c r="B42" s="3"/>
      <c r="C42" s="10">
        <f t="shared" si="13"/>
        <v>0</v>
      </c>
      <c r="D42" s="10">
        <f t="shared" si="14"/>
        <v>0</v>
      </c>
      <c r="E42" s="10">
        <f t="shared" si="15"/>
        <v>0</v>
      </c>
      <c r="F42" s="10">
        <f t="shared" si="16"/>
        <v>0</v>
      </c>
      <c r="G42" s="10">
        <f t="shared" si="17"/>
        <v>0</v>
      </c>
      <c r="H42" s="10">
        <f t="shared" si="18"/>
        <v>0</v>
      </c>
      <c r="I42" s="10">
        <f t="shared" si="19"/>
        <v>0</v>
      </c>
      <c r="J42" s="10">
        <f t="shared" si="53"/>
        <v>0</v>
      </c>
      <c r="K42" s="10">
        <f t="shared" si="21"/>
        <v>0</v>
      </c>
      <c r="L42" s="10">
        <f t="shared" si="22"/>
        <v>0</v>
      </c>
      <c r="M42" s="10">
        <f t="shared" si="23"/>
        <v>0</v>
      </c>
      <c r="N42" s="10">
        <f t="shared" si="24"/>
        <v>0</v>
      </c>
      <c r="O42" s="11"/>
      <c r="P42" s="12">
        <f aca="true" t="shared" si="56" ref="P42:P43">+$O$42*C42</f>
        <v>0</v>
      </c>
      <c r="Q42" s="12">
        <f aca="true" t="shared" si="57" ref="Q42:Q43">+$O$42*D42</f>
        <v>0</v>
      </c>
      <c r="R42" s="12">
        <f aca="true" t="shared" si="58" ref="R42:R43">+$O$42*E42</f>
        <v>0</v>
      </c>
      <c r="S42" s="12">
        <f aca="true" t="shared" si="59" ref="S42:S43">+$O$42*F42</f>
        <v>0</v>
      </c>
      <c r="T42" s="12">
        <f aca="true" t="shared" si="60" ref="T42:T43">+$O$42*G42</f>
        <v>0</v>
      </c>
      <c r="U42" s="12">
        <f aca="true" t="shared" si="61" ref="U42:U43">+$O$42*H42</f>
        <v>0</v>
      </c>
      <c r="V42" s="12">
        <f aca="true" t="shared" si="62" ref="V42:V43">+$O$42*I42</f>
        <v>0</v>
      </c>
      <c r="W42" s="12">
        <f aca="true" t="shared" si="63" ref="W42:W43">+$O$42*J42</f>
        <v>0</v>
      </c>
      <c r="X42" s="12">
        <f aca="true" t="shared" si="64" ref="X42:X43">+$O$42*K42</f>
        <v>0</v>
      </c>
      <c r="Y42" s="12">
        <f aca="true" t="shared" si="65" ref="Y42:Y43">+$O$42*L42</f>
        <v>0</v>
      </c>
      <c r="Z42" s="12">
        <f aca="true" t="shared" si="66" ref="Z42:Z43">+$O$42*M42</f>
        <v>0</v>
      </c>
      <c r="AA42" s="12">
        <f aca="true" t="shared" si="67" ref="AA42:AA43">+$O$42*N42</f>
        <v>0</v>
      </c>
      <c r="AB42" s="15">
        <v>189</v>
      </c>
      <c r="AC42" s="15">
        <v>221</v>
      </c>
      <c r="AD42" s="15">
        <v>241</v>
      </c>
      <c r="AE42" s="15">
        <v>186</v>
      </c>
      <c r="AF42" s="15">
        <v>162</v>
      </c>
      <c r="AG42" s="15">
        <v>232</v>
      </c>
      <c r="AH42" s="15">
        <v>918</v>
      </c>
      <c r="AI42" s="15">
        <v>972</v>
      </c>
      <c r="AJ42" s="15">
        <v>810</v>
      </c>
      <c r="AK42" s="15">
        <v>261</v>
      </c>
      <c r="AL42" s="15">
        <v>180</v>
      </c>
      <c r="AM42" s="15">
        <v>140</v>
      </c>
      <c r="AN42" s="14">
        <f t="shared" si="0"/>
        <v>4512</v>
      </c>
      <c r="AO42" s="3">
        <v>70</v>
      </c>
      <c r="AP42" s="3">
        <v>70</v>
      </c>
      <c r="AQ42" s="3">
        <v>70</v>
      </c>
      <c r="AR42" s="3">
        <v>70</v>
      </c>
      <c r="AS42" s="3">
        <v>70</v>
      </c>
      <c r="AT42" s="3">
        <v>70</v>
      </c>
      <c r="AU42" s="3">
        <v>60</v>
      </c>
      <c r="AV42" s="3">
        <v>60</v>
      </c>
      <c r="AW42" s="3">
        <v>60</v>
      </c>
      <c r="AX42" s="3">
        <v>70</v>
      </c>
      <c r="AY42" s="3">
        <v>70</v>
      </c>
      <c r="AZ42" s="3">
        <v>70</v>
      </c>
      <c r="BA42" s="3"/>
      <c r="BB42" s="13">
        <f t="shared" si="1"/>
        <v>132.3</v>
      </c>
      <c r="BC42" s="13">
        <f t="shared" si="2"/>
        <v>154.7</v>
      </c>
      <c r="BD42" s="13">
        <f t="shared" si="3"/>
        <v>168.7</v>
      </c>
      <c r="BE42" s="13">
        <f t="shared" si="4"/>
        <v>130.2</v>
      </c>
      <c r="BF42" s="13">
        <f t="shared" si="5"/>
        <v>113.4</v>
      </c>
      <c r="BG42" s="13">
        <f t="shared" si="6"/>
        <v>162.4</v>
      </c>
      <c r="BH42" s="13">
        <f t="shared" si="7"/>
        <v>550.8</v>
      </c>
      <c r="BI42" s="13">
        <f t="shared" si="8"/>
        <v>583.2</v>
      </c>
      <c r="BJ42" s="13">
        <f t="shared" si="9"/>
        <v>486</v>
      </c>
      <c r="BK42" s="13">
        <f t="shared" si="12"/>
        <v>182.7</v>
      </c>
      <c r="BL42" s="13">
        <f t="shared" si="54"/>
        <v>126</v>
      </c>
      <c r="BM42" s="13">
        <f t="shared" si="55"/>
        <v>98</v>
      </c>
    </row>
    <row r="43" spans="1:66" ht="16.5">
      <c r="A43" s="19" t="s">
        <v>49</v>
      </c>
      <c r="B43" s="3"/>
      <c r="C43" s="10">
        <f t="shared" si="13"/>
        <v>0</v>
      </c>
      <c r="D43" s="10">
        <f t="shared" si="14"/>
        <v>0</v>
      </c>
      <c r="E43" s="10">
        <f t="shared" si="15"/>
        <v>0</v>
      </c>
      <c r="F43" s="10">
        <f t="shared" si="16"/>
        <v>0</v>
      </c>
      <c r="G43" s="10">
        <f t="shared" si="17"/>
        <v>0</v>
      </c>
      <c r="H43" s="10">
        <f t="shared" si="18"/>
        <v>0</v>
      </c>
      <c r="I43" s="10">
        <f t="shared" si="19"/>
        <v>0</v>
      </c>
      <c r="J43" s="10">
        <f t="shared" si="53"/>
        <v>0</v>
      </c>
      <c r="K43" s="10">
        <f t="shared" si="21"/>
        <v>0</v>
      </c>
      <c r="L43" s="10">
        <f t="shared" si="22"/>
        <v>0</v>
      </c>
      <c r="M43" s="10">
        <f t="shared" si="23"/>
        <v>0</v>
      </c>
      <c r="N43" s="10">
        <f t="shared" si="24"/>
        <v>0</v>
      </c>
      <c r="O43" s="11"/>
      <c r="P43" s="12">
        <f t="shared" si="56"/>
        <v>0</v>
      </c>
      <c r="Q43" s="12">
        <f t="shared" si="57"/>
        <v>0</v>
      </c>
      <c r="R43" s="12">
        <f t="shared" si="58"/>
        <v>0</v>
      </c>
      <c r="S43" s="12">
        <f t="shared" si="59"/>
        <v>0</v>
      </c>
      <c r="T43" s="12">
        <f t="shared" si="60"/>
        <v>0</v>
      </c>
      <c r="U43" s="12">
        <f t="shared" si="61"/>
        <v>0</v>
      </c>
      <c r="V43" s="12">
        <f t="shared" si="62"/>
        <v>0</v>
      </c>
      <c r="W43" s="12">
        <f t="shared" si="63"/>
        <v>0</v>
      </c>
      <c r="X43" s="12">
        <f t="shared" si="64"/>
        <v>0</v>
      </c>
      <c r="Y43" s="12">
        <f t="shared" si="65"/>
        <v>0</v>
      </c>
      <c r="Z43" s="12">
        <f t="shared" si="66"/>
        <v>0</v>
      </c>
      <c r="AA43" s="12">
        <f t="shared" si="67"/>
        <v>0</v>
      </c>
      <c r="AB43" s="20">
        <f>6000*0.26*0.3333333</f>
        <v>519.999948</v>
      </c>
      <c r="AC43" s="20">
        <f>6000*0.26*0.3333333</f>
        <v>519.999948</v>
      </c>
      <c r="AD43" s="20">
        <f>6000*0.26*0.3333333</f>
        <v>519.999948</v>
      </c>
      <c r="AE43" s="20">
        <f>6000*0.17*0.3333333</f>
        <v>339.99996600000003</v>
      </c>
      <c r="AF43" s="20">
        <f>6000*0.17*0.3333333</f>
        <v>339.99996600000003</v>
      </c>
      <c r="AG43" s="20">
        <f>6000*0.17*0.3333333</f>
        <v>339.99996600000003</v>
      </c>
      <c r="AH43" s="20">
        <f>6000*0.3*0.33333333</f>
        <v>599.999994</v>
      </c>
      <c r="AI43" s="20">
        <f>6000*0.3*0.33333333</f>
        <v>599.999994</v>
      </c>
      <c r="AJ43" s="20">
        <f>6000*0.3*0.33333333</f>
        <v>599.999994</v>
      </c>
      <c r="AK43" s="20">
        <f>6000*0.29*0.3333333</f>
        <v>579.9999419999999</v>
      </c>
      <c r="AL43" s="20">
        <f>6000*0.29*0.3333333</f>
        <v>579.9999419999999</v>
      </c>
      <c r="AM43" s="20">
        <f>6000*0.29*0.3333333</f>
        <v>579.9999419999999</v>
      </c>
      <c r="AN43" s="14">
        <f t="shared" si="0"/>
        <v>6119.9995499999995</v>
      </c>
      <c r="AO43" s="3">
        <v>70</v>
      </c>
      <c r="AP43" s="3">
        <v>70</v>
      </c>
      <c r="AQ43" s="3">
        <v>70</v>
      </c>
      <c r="AR43" s="3">
        <v>70</v>
      </c>
      <c r="AS43" s="3">
        <v>70</v>
      </c>
      <c r="AT43" s="3">
        <v>70</v>
      </c>
      <c r="AU43" s="3">
        <v>60</v>
      </c>
      <c r="AV43" s="3">
        <v>60</v>
      </c>
      <c r="AW43" s="3">
        <v>60</v>
      </c>
      <c r="AX43" s="3">
        <v>70</v>
      </c>
      <c r="AY43" s="3">
        <v>70</v>
      </c>
      <c r="AZ43" s="3">
        <v>70</v>
      </c>
      <c r="BA43" s="3"/>
      <c r="BB43" s="13">
        <f t="shared" si="1"/>
        <v>363.99996360000006</v>
      </c>
      <c r="BC43" s="13">
        <f t="shared" si="2"/>
        <v>363.99996360000006</v>
      </c>
      <c r="BD43" s="13">
        <f t="shared" si="3"/>
        <v>363.99996360000006</v>
      </c>
      <c r="BE43" s="13">
        <f t="shared" si="4"/>
        <v>237.99997620000002</v>
      </c>
      <c r="BF43" s="13">
        <f t="shared" si="5"/>
        <v>237.99997620000002</v>
      </c>
      <c r="BG43" s="13">
        <f t="shared" si="6"/>
        <v>237.99997620000002</v>
      </c>
      <c r="BH43" s="13">
        <f t="shared" si="7"/>
        <v>359.99999640000004</v>
      </c>
      <c r="BI43" s="13">
        <f t="shared" si="8"/>
        <v>359.99999640000004</v>
      </c>
      <c r="BJ43" s="13">
        <f t="shared" si="9"/>
        <v>359.99999640000004</v>
      </c>
      <c r="BK43" s="13">
        <f t="shared" si="12"/>
        <v>405.9999593999999</v>
      </c>
      <c r="BL43" s="13">
        <f t="shared" si="54"/>
        <v>405.9999593999999</v>
      </c>
      <c r="BM43" s="13">
        <f t="shared" si="55"/>
        <v>405.9999593999999</v>
      </c>
      <c r="BN43" s="21">
        <f aca="true" t="shared" si="68" ref="BN43:BN44">SUM(BB43:BM43)</f>
        <v>4103.999686800001</v>
      </c>
    </row>
    <row r="44" spans="1:66" ht="16.5">
      <c r="A44" s="4" t="s">
        <v>50</v>
      </c>
      <c r="B44" s="4"/>
      <c r="C44" s="10">
        <f t="shared" si="13"/>
        <v>0</v>
      </c>
      <c r="D44" s="10">
        <f t="shared" si="14"/>
        <v>0</v>
      </c>
      <c r="E44" s="10">
        <f t="shared" si="15"/>
        <v>0</v>
      </c>
      <c r="F44" s="10">
        <f t="shared" si="16"/>
        <v>0</v>
      </c>
      <c r="G44" s="10">
        <f t="shared" si="17"/>
        <v>0</v>
      </c>
      <c r="H44" s="10">
        <f t="shared" si="18"/>
        <v>0</v>
      </c>
      <c r="I44" s="10">
        <f t="shared" si="19"/>
        <v>0</v>
      </c>
      <c r="J44" s="10">
        <f t="shared" si="53"/>
        <v>0</v>
      </c>
      <c r="K44" s="10">
        <f t="shared" si="21"/>
        <v>0</v>
      </c>
      <c r="L44" s="10">
        <f t="shared" si="22"/>
        <v>0</v>
      </c>
      <c r="M44" s="10">
        <f t="shared" si="23"/>
        <v>0</v>
      </c>
      <c r="N44" s="10">
        <f t="shared" si="24"/>
        <v>0</v>
      </c>
      <c r="O44" s="22"/>
      <c r="P44" s="12">
        <f>+$O$44*C44</f>
        <v>0</v>
      </c>
      <c r="Q44" s="12">
        <f>+$O$44*D44</f>
        <v>0</v>
      </c>
      <c r="R44" s="12">
        <f>+$O$44*E44</f>
        <v>0</v>
      </c>
      <c r="S44" s="12">
        <f>+$O$44*F44</f>
        <v>0</v>
      </c>
      <c r="T44" s="12">
        <f>+$O$44*G44</f>
        <v>0</v>
      </c>
      <c r="U44" s="12">
        <f>+$O$44*H44</f>
        <v>0</v>
      </c>
      <c r="V44" s="12">
        <f>+$O$44*I44</f>
        <v>0</v>
      </c>
      <c r="W44" s="12">
        <f>+$O$44*J44</f>
        <v>0</v>
      </c>
      <c r="X44" s="12">
        <f>+$O$44*K44</f>
        <v>0</v>
      </c>
      <c r="Y44" s="12">
        <f>+$O$44*L44</f>
        <v>0</v>
      </c>
      <c r="Z44" s="12">
        <f>+$O$44*M44</f>
        <v>0</v>
      </c>
      <c r="AA44" s="12">
        <f>+$O$44*N44</f>
        <v>0</v>
      </c>
      <c r="AB44" s="20">
        <f>4200*0.26*0.3333333</f>
        <v>363.9999636</v>
      </c>
      <c r="AC44" s="20">
        <f>4200*0.26*0.3333333</f>
        <v>363.9999636</v>
      </c>
      <c r="AD44" s="20">
        <f>4200*0.26*0.3333333</f>
        <v>363.9999636</v>
      </c>
      <c r="AE44" s="20">
        <f>4200*0.17*0.3333333</f>
        <v>237.9999762</v>
      </c>
      <c r="AF44" s="20">
        <f>4200*0.17*0.3333333</f>
        <v>237.9999762</v>
      </c>
      <c r="AG44" s="20">
        <f>4200*0.17*0.3333333</f>
        <v>237.9999762</v>
      </c>
      <c r="AH44" s="20">
        <f>4200*0.39*0.33333333</f>
        <v>545.99999454</v>
      </c>
      <c r="AI44" s="20">
        <f>4200*0.39*0.33333333</f>
        <v>545.99999454</v>
      </c>
      <c r="AJ44" s="20">
        <f>4200*0.39*0.33333333</f>
        <v>545.99999454</v>
      </c>
      <c r="AK44" s="20">
        <f>4200*0.19*0.3333333</f>
        <v>265.9999734</v>
      </c>
      <c r="AL44" s="20">
        <f>4200*0.19*0.3333333</f>
        <v>265.9999734</v>
      </c>
      <c r="AM44" s="20">
        <f>4200*0.19*0.3333333</f>
        <v>265.9999734</v>
      </c>
      <c r="AN44" s="14">
        <f t="shared" si="0"/>
        <v>4241.999723219999</v>
      </c>
      <c r="AO44" s="23">
        <v>70</v>
      </c>
      <c r="AP44" s="23">
        <v>70</v>
      </c>
      <c r="AQ44" s="23">
        <v>70</v>
      </c>
      <c r="AR44" s="23">
        <v>75</v>
      </c>
      <c r="AS44" s="23">
        <v>75</v>
      </c>
      <c r="AT44" s="23">
        <v>75</v>
      </c>
      <c r="AU44" s="23">
        <v>70</v>
      </c>
      <c r="AV44" s="23">
        <v>70</v>
      </c>
      <c r="AW44" s="23">
        <v>70</v>
      </c>
      <c r="AX44" s="23">
        <v>75</v>
      </c>
      <c r="AY44" s="23">
        <v>75</v>
      </c>
      <c r="AZ44" s="23">
        <v>75</v>
      </c>
      <c r="BA44" s="3"/>
      <c r="BB44" s="24">
        <f t="shared" si="1"/>
        <v>254.79997452</v>
      </c>
      <c r="BC44" s="24">
        <f t="shared" si="2"/>
        <v>254.79997452</v>
      </c>
      <c r="BD44" s="24">
        <f t="shared" si="3"/>
        <v>254.79997452</v>
      </c>
      <c r="BE44" s="24">
        <f t="shared" si="4"/>
        <v>178.49998215</v>
      </c>
      <c r="BF44" s="24">
        <f t="shared" si="5"/>
        <v>178.49998215</v>
      </c>
      <c r="BG44" s="24">
        <f t="shared" si="6"/>
        <v>178.49998215</v>
      </c>
      <c r="BH44" s="24">
        <f t="shared" si="7"/>
        <v>382.199996178</v>
      </c>
      <c r="BI44" s="24">
        <f t="shared" si="8"/>
        <v>382.199996178</v>
      </c>
      <c r="BJ44" s="24">
        <f t="shared" si="9"/>
        <v>382.199996178</v>
      </c>
      <c r="BK44" s="24">
        <f t="shared" si="12"/>
        <v>199.49998004999998</v>
      </c>
      <c r="BL44" s="24">
        <f t="shared" si="54"/>
        <v>199.49998004999998</v>
      </c>
      <c r="BM44" s="24">
        <f t="shared" si="55"/>
        <v>199.49998004999998</v>
      </c>
      <c r="BN44" s="21">
        <f t="shared" si="68"/>
        <v>3044.999798694</v>
      </c>
    </row>
    <row r="45" spans="1:65" ht="17.25">
      <c r="A45" s="25" t="s">
        <v>51</v>
      </c>
      <c r="C45" s="26">
        <f t="shared" si="13"/>
        <v>0</v>
      </c>
      <c r="D45" s="26">
        <f t="shared" si="14"/>
        <v>0</v>
      </c>
      <c r="E45" s="26">
        <f t="shared" si="15"/>
        <v>0</v>
      </c>
      <c r="F45" s="26">
        <f t="shared" si="16"/>
        <v>0</v>
      </c>
      <c r="G45" s="26">
        <f t="shared" si="17"/>
        <v>0</v>
      </c>
      <c r="H45" s="26">
        <f t="shared" si="18"/>
        <v>0</v>
      </c>
      <c r="I45" s="26">
        <f t="shared" si="19"/>
        <v>0</v>
      </c>
      <c r="J45" s="26">
        <f t="shared" si="53"/>
        <v>0</v>
      </c>
      <c r="K45" s="26">
        <f t="shared" si="21"/>
        <v>0</v>
      </c>
      <c r="L45" s="26">
        <f t="shared" si="22"/>
        <v>0</v>
      </c>
      <c r="M45" s="26">
        <f t="shared" si="23"/>
        <v>0</v>
      </c>
      <c r="N45" s="26">
        <f t="shared" si="24"/>
        <v>0</v>
      </c>
      <c r="O45" s="27"/>
      <c r="P45" s="12">
        <f>+$O$45*C45</f>
        <v>0</v>
      </c>
      <c r="Q45" s="12">
        <f>+$O$45*D45</f>
        <v>0</v>
      </c>
      <c r="R45" s="12">
        <f>+$O$45*E45</f>
        <v>0</v>
      </c>
      <c r="S45" s="12">
        <f>+$O$45*F45</f>
        <v>0</v>
      </c>
      <c r="T45" s="12">
        <f>+$O$45*G45</f>
        <v>0</v>
      </c>
      <c r="U45" s="12">
        <f>+$O$45*H45</f>
        <v>0</v>
      </c>
      <c r="V45" s="12">
        <f>+$O$45*I45</f>
        <v>0</v>
      </c>
      <c r="W45" s="12">
        <f>+$O$45*J45</f>
        <v>0</v>
      </c>
      <c r="X45" s="12">
        <f>+$O$45*K45</f>
        <v>0</v>
      </c>
      <c r="Y45" s="12">
        <f>+$O$45*L45</f>
        <v>0</v>
      </c>
      <c r="Z45" s="12">
        <f>+$O$45*M45</f>
        <v>0</v>
      </c>
      <c r="AA45" s="12">
        <f>+$O$45*N45</f>
        <v>0</v>
      </c>
      <c r="AB45">
        <v>270</v>
      </c>
      <c r="AC45">
        <v>314</v>
      </c>
      <c r="AD45">
        <v>314</v>
      </c>
      <c r="AE45">
        <v>160</v>
      </c>
      <c r="AF45">
        <v>160</v>
      </c>
      <c r="AG45">
        <v>160</v>
      </c>
      <c r="AH45">
        <v>357</v>
      </c>
      <c r="AI45">
        <v>416</v>
      </c>
      <c r="AJ45">
        <v>416</v>
      </c>
      <c r="AK45">
        <v>106</v>
      </c>
      <c r="AL45">
        <v>106</v>
      </c>
      <c r="AM45">
        <v>106</v>
      </c>
      <c r="AN45" s="14">
        <f t="shared" si="0"/>
        <v>2885</v>
      </c>
      <c r="AO45" s="23">
        <v>75</v>
      </c>
      <c r="AP45" s="23">
        <v>75</v>
      </c>
      <c r="AQ45" s="23">
        <v>75</v>
      </c>
      <c r="AR45" s="23">
        <v>75</v>
      </c>
      <c r="AS45" s="23">
        <v>75</v>
      </c>
      <c r="AT45" s="23">
        <v>75</v>
      </c>
      <c r="AU45" s="23">
        <v>70</v>
      </c>
      <c r="AV45" s="23">
        <v>70</v>
      </c>
      <c r="AW45" s="23">
        <v>70</v>
      </c>
      <c r="AX45" s="23">
        <v>75</v>
      </c>
      <c r="AY45" s="23">
        <v>75</v>
      </c>
      <c r="AZ45" s="23">
        <v>75</v>
      </c>
      <c r="BB45" s="24">
        <f t="shared" si="1"/>
        <v>202.5</v>
      </c>
      <c r="BC45" s="24">
        <f t="shared" si="2"/>
        <v>235.5</v>
      </c>
      <c r="BD45" s="24">
        <f t="shared" si="3"/>
        <v>235.5</v>
      </c>
      <c r="BE45" s="24">
        <f t="shared" si="4"/>
        <v>120</v>
      </c>
      <c r="BF45" s="24">
        <f t="shared" si="5"/>
        <v>120</v>
      </c>
      <c r="BG45" s="24">
        <f t="shared" si="6"/>
        <v>120</v>
      </c>
      <c r="BH45" s="24">
        <f t="shared" si="7"/>
        <v>249.9</v>
      </c>
      <c r="BI45" s="24">
        <f t="shared" si="8"/>
        <v>291.2</v>
      </c>
      <c r="BJ45" s="24">
        <f t="shared" si="9"/>
        <v>291.2</v>
      </c>
      <c r="BK45" s="24">
        <f t="shared" si="12"/>
        <v>79.5</v>
      </c>
      <c r="BL45" s="24">
        <f t="shared" si="54"/>
        <v>79.5</v>
      </c>
      <c r="BM45" s="24">
        <f t="shared" si="55"/>
        <v>79.5</v>
      </c>
    </row>
    <row r="46" spans="1:65" ht="16.5">
      <c r="A46" s="25" t="s">
        <v>52</v>
      </c>
      <c r="C46" s="10">
        <f t="shared" si="13"/>
        <v>0</v>
      </c>
      <c r="D46" s="10">
        <f t="shared" si="14"/>
        <v>0</v>
      </c>
      <c r="E46" s="10">
        <f t="shared" si="15"/>
        <v>0</v>
      </c>
      <c r="F46" s="10">
        <f t="shared" si="16"/>
        <v>0</v>
      </c>
      <c r="G46" s="10">
        <f t="shared" si="17"/>
        <v>0</v>
      </c>
      <c r="H46" s="10">
        <f t="shared" si="18"/>
        <v>0</v>
      </c>
      <c r="I46" s="10">
        <f t="shared" si="19"/>
        <v>0</v>
      </c>
      <c r="J46" s="10">
        <f t="shared" si="53"/>
        <v>0</v>
      </c>
      <c r="K46" s="10">
        <f t="shared" si="21"/>
        <v>0</v>
      </c>
      <c r="L46" s="10">
        <f t="shared" si="22"/>
        <v>0</v>
      </c>
      <c r="M46" s="10">
        <f t="shared" si="23"/>
        <v>0</v>
      </c>
      <c r="N46" s="10">
        <f t="shared" si="24"/>
        <v>0</v>
      </c>
      <c r="O46" s="27"/>
      <c r="P46" s="12">
        <f>+$O$46*C46</f>
        <v>0</v>
      </c>
      <c r="Q46" s="12">
        <f>+$O$46*D46</f>
        <v>0</v>
      </c>
      <c r="R46" s="12">
        <f>+$O$46*E46</f>
        <v>0</v>
      </c>
      <c r="S46" s="12">
        <f>+$O$46*F46</f>
        <v>0</v>
      </c>
      <c r="T46" s="12">
        <f>+$O$46*G46</f>
        <v>0</v>
      </c>
      <c r="U46" s="12">
        <f>+$O$46*H46</f>
        <v>0</v>
      </c>
      <c r="V46" s="12">
        <f>+$O$46*I46</f>
        <v>0</v>
      </c>
      <c r="W46" s="12">
        <f>+$O$46*J46</f>
        <v>0</v>
      </c>
      <c r="X46" s="12">
        <f>+$O$46*K46</f>
        <v>0</v>
      </c>
      <c r="Y46" s="12">
        <f>+$O$46*L46</f>
        <v>0</v>
      </c>
      <c r="Z46" s="12">
        <f>+$O$46*M46</f>
        <v>0</v>
      </c>
      <c r="AA46" s="12">
        <f>+$O$46*N46</f>
        <v>0</v>
      </c>
      <c r="AB46" s="20">
        <f>1900*0.26*0.3333333</f>
        <v>164.6666502</v>
      </c>
      <c r="AC46" s="20">
        <f>1900*0.26*0.3333333</f>
        <v>164.6666502</v>
      </c>
      <c r="AD46" s="20">
        <f>1900*0.26*0.3333333</f>
        <v>164.6666502</v>
      </c>
      <c r="AE46" s="20">
        <f>1900*0.17*0.3333333</f>
        <v>107.6666559</v>
      </c>
      <c r="AF46" s="20">
        <f>1900*0.17*0.3333333</f>
        <v>107.6666559</v>
      </c>
      <c r="AG46" s="20">
        <f>1900*0.17*0.3333333</f>
        <v>107.6666559</v>
      </c>
      <c r="AH46" s="20">
        <f>1900*0.38*0.33333333</f>
        <v>240.66666425999998</v>
      </c>
      <c r="AI46" s="20">
        <f>1900*0.38*0.33333333</f>
        <v>240.66666425999998</v>
      </c>
      <c r="AJ46" s="20">
        <f>1900*0.38*0.33333333</f>
        <v>240.66666425999998</v>
      </c>
      <c r="AK46" s="20">
        <f>1900*0.19*0.3333333</f>
        <v>120.3333213</v>
      </c>
      <c r="AL46" s="20">
        <f>1900*0.19*0.3333333</f>
        <v>120.3333213</v>
      </c>
      <c r="AM46" s="20">
        <f>1900*0.19*0.3333333</f>
        <v>120.3333213</v>
      </c>
      <c r="AN46" s="14">
        <f t="shared" si="0"/>
        <v>1899.9998749800004</v>
      </c>
      <c r="AO46" s="23">
        <v>75</v>
      </c>
      <c r="AP46" s="23">
        <v>75</v>
      </c>
      <c r="AQ46" s="23">
        <v>75</v>
      </c>
      <c r="AR46" s="23">
        <v>75</v>
      </c>
      <c r="AS46" s="23">
        <v>75</v>
      </c>
      <c r="AT46" s="23">
        <v>75</v>
      </c>
      <c r="AU46" s="23">
        <v>70</v>
      </c>
      <c r="AV46" s="23">
        <v>70</v>
      </c>
      <c r="AW46" s="23">
        <v>70</v>
      </c>
      <c r="AX46" s="23">
        <v>75</v>
      </c>
      <c r="AY46" s="23">
        <v>75</v>
      </c>
      <c r="AZ46" s="23">
        <v>75</v>
      </c>
      <c r="BB46" s="24">
        <f t="shared" si="1"/>
        <v>123.49998765000001</v>
      </c>
      <c r="BC46" s="24">
        <f t="shared" si="2"/>
        <v>123.49998765000001</v>
      </c>
      <c r="BD46" s="24">
        <f t="shared" si="3"/>
        <v>123.49998765000001</v>
      </c>
      <c r="BE46" s="24">
        <f t="shared" si="4"/>
        <v>80.74999192499999</v>
      </c>
      <c r="BF46" s="24">
        <f t="shared" si="5"/>
        <v>80.74999192499999</v>
      </c>
      <c r="BG46" s="24">
        <f t="shared" si="6"/>
        <v>80.74999192499999</v>
      </c>
      <c r="BH46" s="24">
        <f t="shared" si="7"/>
        <v>168.46666498199997</v>
      </c>
      <c r="BI46" s="24">
        <f t="shared" si="8"/>
        <v>168.46666498199997</v>
      </c>
      <c r="BJ46" s="24">
        <f t="shared" si="9"/>
        <v>168.46666498199997</v>
      </c>
      <c r="BK46" s="24">
        <f t="shared" si="12"/>
        <v>90.249990975</v>
      </c>
      <c r="BL46" s="24">
        <f t="shared" si="54"/>
        <v>90.249990975</v>
      </c>
      <c r="BM46" s="24">
        <f t="shared" si="55"/>
        <v>90.249990975</v>
      </c>
    </row>
    <row r="47" spans="1:65" ht="16.5">
      <c r="A47" s="25" t="s">
        <v>53</v>
      </c>
      <c r="C47" s="10">
        <f t="shared" si="13"/>
        <v>0</v>
      </c>
      <c r="D47" s="10">
        <f t="shared" si="14"/>
        <v>0</v>
      </c>
      <c r="E47" s="10">
        <f t="shared" si="15"/>
        <v>0</v>
      </c>
      <c r="F47" s="10">
        <f t="shared" si="16"/>
        <v>0</v>
      </c>
      <c r="G47" s="10">
        <f t="shared" si="17"/>
        <v>0</v>
      </c>
      <c r="H47" s="10">
        <f t="shared" si="18"/>
        <v>0</v>
      </c>
      <c r="I47" s="10">
        <f t="shared" si="19"/>
        <v>0</v>
      </c>
      <c r="J47" s="10">
        <f t="shared" si="53"/>
        <v>0</v>
      </c>
      <c r="K47" s="10">
        <f t="shared" si="21"/>
        <v>0</v>
      </c>
      <c r="L47" s="10">
        <f t="shared" si="22"/>
        <v>0</v>
      </c>
      <c r="M47" s="10">
        <f t="shared" si="23"/>
        <v>0</v>
      </c>
      <c r="N47" s="10">
        <f t="shared" si="24"/>
        <v>0</v>
      </c>
      <c r="O47" s="27"/>
      <c r="P47" s="12">
        <f>+$O$47*C47</f>
        <v>0</v>
      </c>
      <c r="Q47" s="12">
        <f>+$O$47*D47</f>
        <v>0</v>
      </c>
      <c r="R47" s="12">
        <f>+$O$47*E47</f>
        <v>0</v>
      </c>
      <c r="S47" s="12">
        <f>+$O$47*F47</f>
        <v>0</v>
      </c>
      <c r="T47" s="12">
        <f>+$O$47*G47</f>
        <v>0</v>
      </c>
      <c r="U47" s="12">
        <f>+$O$47*H47</f>
        <v>0</v>
      </c>
      <c r="V47" s="12">
        <f>+$O$47*I47</f>
        <v>0</v>
      </c>
      <c r="W47" s="12">
        <f>+$O$47*J47</f>
        <v>0</v>
      </c>
      <c r="X47" s="12">
        <f>+$O$47*K47</f>
        <v>0</v>
      </c>
      <c r="Y47" s="12">
        <f>+$O$47*L47</f>
        <v>0</v>
      </c>
      <c r="Z47" s="12">
        <f>+$O$47*M47</f>
        <v>0</v>
      </c>
      <c r="AA47" s="12">
        <f>+$O$47*N47</f>
        <v>0</v>
      </c>
      <c r="AB47" s="28">
        <v>84.22876949740035</v>
      </c>
      <c r="AC47" s="28">
        <v>97.95493934142114</v>
      </c>
      <c r="AD47" s="28">
        <v>97.95493934142114</v>
      </c>
      <c r="AE47" s="28">
        <v>49.91334488734835</v>
      </c>
      <c r="AF47" s="28">
        <v>49.91334488734835</v>
      </c>
      <c r="AG47" s="28">
        <v>49.91334488734835</v>
      </c>
      <c r="AH47" s="28">
        <v>111.36915077989602</v>
      </c>
      <c r="AI47" s="28">
        <v>129.7746967071057</v>
      </c>
      <c r="AJ47" s="28">
        <v>129.7746967071057</v>
      </c>
      <c r="AK47" s="28">
        <v>33.067590987868286</v>
      </c>
      <c r="AL47" s="28">
        <v>33.067590987868286</v>
      </c>
      <c r="AM47" s="28">
        <v>33.067590987868286</v>
      </c>
      <c r="AN47" s="14">
        <f t="shared" si="0"/>
        <v>899.9999999999998</v>
      </c>
      <c r="AO47" s="23">
        <v>75</v>
      </c>
      <c r="AP47" s="23">
        <v>75</v>
      </c>
      <c r="AQ47" s="23">
        <v>75</v>
      </c>
      <c r="AR47" s="23">
        <v>75</v>
      </c>
      <c r="AS47" s="23">
        <v>75</v>
      </c>
      <c r="AT47" s="23">
        <v>75</v>
      </c>
      <c r="AU47" s="23">
        <v>70</v>
      </c>
      <c r="AV47" s="23">
        <v>70</v>
      </c>
      <c r="AW47" s="23">
        <v>70</v>
      </c>
      <c r="AX47" s="23">
        <v>75</v>
      </c>
      <c r="AY47" s="23">
        <v>75</v>
      </c>
      <c r="AZ47" s="23">
        <v>75</v>
      </c>
      <c r="BB47" s="24">
        <f t="shared" si="1"/>
        <v>63.17157712305026</v>
      </c>
      <c r="BC47" s="24">
        <f t="shared" si="2"/>
        <v>73.46620450606585</v>
      </c>
      <c r="BD47" s="24">
        <f t="shared" si="3"/>
        <v>73.46620450606585</v>
      </c>
      <c r="BE47" s="24">
        <f t="shared" si="4"/>
        <v>37.43500866551126</v>
      </c>
      <c r="BF47" s="24">
        <f t="shared" si="5"/>
        <v>37.43500866551126</v>
      </c>
      <c r="BG47" s="24">
        <f t="shared" si="6"/>
        <v>37.43500866551126</v>
      </c>
      <c r="BH47" s="24">
        <f t="shared" si="7"/>
        <v>77.95840554592722</v>
      </c>
      <c r="BI47" s="24">
        <f t="shared" si="8"/>
        <v>90.842287694974</v>
      </c>
      <c r="BJ47" s="24">
        <f t="shared" si="9"/>
        <v>90.842287694974</v>
      </c>
      <c r="BK47" s="24">
        <f t="shared" si="12"/>
        <v>24.800693240901214</v>
      </c>
      <c r="BL47" s="24">
        <f t="shared" si="54"/>
        <v>24.800693240901214</v>
      </c>
      <c r="BM47" s="24">
        <f t="shared" si="55"/>
        <v>24.800693240901214</v>
      </c>
    </row>
    <row r="48" spans="1:65" ht="15.75">
      <c r="A48" s="25" t="s">
        <v>54</v>
      </c>
      <c r="C48" s="10">
        <f t="shared" si="13"/>
        <v>0</v>
      </c>
      <c r="D48" s="10">
        <f t="shared" si="14"/>
        <v>0</v>
      </c>
      <c r="E48" s="10">
        <f t="shared" si="15"/>
        <v>0</v>
      </c>
      <c r="F48" s="10">
        <f t="shared" si="16"/>
        <v>0</v>
      </c>
      <c r="G48" s="10">
        <f t="shared" si="17"/>
        <v>0</v>
      </c>
      <c r="H48" s="10">
        <f t="shared" si="18"/>
        <v>0</v>
      </c>
      <c r="I48" s="10">
        <f t="shared" si="19"/>
        <v>0</v>
      </c>
      <c r="J48" s="10">
        <f t="shared" si="53"/>
        <v>0</v>
      </c>
      <c r="K48" s="10">
        <f t="shared" si="21"/>
        <v>0</v>
      </c>
      <c r="L48" s="10">
        <f t="shared" si="22"/>
        <v>0</v>
      </c>
      <c r="M48" s="10">
        <f t="shared" si="23"/>
        <v>0</v>
      </c>
      <c r="N48" s="10">
        <f t="shared" si="24"/>
        <v>0</v>
      </c>
      <c r="O48" s="27"/>
      <c r="P48" s="12">
        <f>+$O$48*C48</f>
        <v>0</v>
      </c>
      <c r="Q48" s="12">
        <f>+$O$48*D48</f>
        <v>0</v>
      </c>
      <c r="R48" s="12">
        <f>+$O$48*E48</f>
        <v>0</v>
      </c>
      <c r="S48" s="12">
        <f>+$O$48*F48</f>
        <v>0</v>
      </c>
      <c r="T48" s="12">
        <f>+$O$48*G48</f>
        <v>0</v>
      </c>
      <c r="U48" s="12">
        <f>+$O$48*H48</f>
        <v>0</v>
      </c>
      <c r="V48" s="12">
        <f>+$O$48*I48</f>
        <v>0</v>
      </c>
      <c r="W48" s="12">
        <f>+$O$48*J48</f>
        <v>0</v>
      </c>
      <c r="X48" s="12">
        <f>+$O$48*K48</f>
        <v>0</v>
      </c>
      <c r="Y48" s="12">
        <f>+$O$48*L48</f>
        <v>0</v>
      </c>
      <c r="Z48" s="12">
        <f>+$O$48*M48</f>
        <v>0</v>
      </c>
      <c r="AA48" s="12">
        <f>+$O$48*N48</f>
        <v>0</v>
      </c>
      <c r="AB48">
        <v>336</v>
      </c>
      <c r="AC48">
        <v>336</v>
      </c>
      <c r="AD48">
        <v>336</v>
      </c>
      <c r="AE48">
        <v>98</v>
      </c>
      <c r="AF48">
        <v>98</v>
      </c>
      <c r="AG48">
        <v>98</v>
      </c>
      <c r="AH48">
        <v>476</v>
      </c>
      <c r="AI48">
        <v>476</v>
      </c>
      <c r="AJ48">
        <v>476</v>
      </c>
      <c r="AK48">
        <v>490</v>
      </c>
      <c r="AL48">
        <v>490</v>
      </c>
      <c r="AM48">
        <v>490</v>
      </c>
      <c r="AN48" s="14">
        <f t="shared" si="0"/>
        <v>4200</v>
      </c>
      <c r="AO48" s="25">
        <v>60</v>
      </c>
      <c r="AP48" s="25">
        <v>60</v>
      </c>
      <c r="AQ48" s="25">
        <v>60</v>
      </c>
      <c r="AR48" s="25">
        <v>67</v>
      </c>
      <c r="AS48" s="25">
        <v>67</v>
      </c>
      <c r="AT48" s="25">
        <v>67</v>
      </c>
      <c r="AU48" s="25">
        <v>64</v>
      </c>
      <c r="AV48" s="25">
        <v>64</v>
      </c>
      <c r="AW48" s="25">
        <v>64</v>
      </c>
      <c r="AX48" s="25">
        <v>58</v>
      </c>
      <c r="AY48" s="25">
        <v>58</v>
      </c>
      <c r="AZ48" s="25">
        <v>58</v>
      </c>
      <c r="BB48" s="29">
        <f t="shared" si="1"/>
        <v>201.6</v>
      </c>
      <c r="BC48" s="29">
        <f t="shared" si="2"/>
        <v>201.6</v>
      </c>
      <c r="BD48" s="29">
        <f t="shared" si="3"/>
        <v>201.6</v>
      </c>
      <c r="BE48" s="29">
        <f t="shared" si="4"/>
        <v>65.66</v>
      </c>
      <c r="BF48" s="29">
        <f t="shared" si="5"/>
        <v>65.66</v>
      </c>
      <c r="BG48" s="29">
        <f t="shared" si="6"/>
        <v>65.66</v>
      </c>
      <c r="BH48" s="29">
        <f t="shared" si="7"/>
        <v>304.64</v>
      </c>
      <c r="BI48" s="29">
        <f t="shared" si="8"/>
        <v>304.64</v>
      </c>
      <c r="BJ48" s="29">
        <f t="shared" si="9"/>
        <v>304.64</v>
      </c>
      <c r="BK48" s="29">
        <f t="shared" si="12"/>
        <v>284.2</v>
      </c>
      <c r="BL48" s="29">
        <f t="shared" si="54"/>
        <v>284.2</v>
      </c>
      <c r="BM48" s="29">
        <f t="shared" si="55"/>
        <v>284.2</v>
      </c>
    </row>
    <row r="49" spans="1:65" ht="15.75">
      <c r="A49" s="25" t="s">
        <v>55</v>
      </c>
      <c r="C49" s="10">
        <f t="shared" si="13"/>
        <v>0</v>
      </c>
      <c r="D49" s="10">
        <f t="shared" si="14"/>
        <v>0</v>
      </c>
      <c r="E49" s="10">
        <f t="shared" si="15"/>
        <v>0</v>
      </c>
      <c r="F49" s="10">
        <f t="shared" si="16"/>
        <v>0</v>
      </c>
      <c r="G49" s="10">
        <f t="shared" si="17"/>
        <v>0</v>
      </c>
      <c r="H49" s="10">
        <f t="shared" si="18"/>
        <v>0</v>
      </c>
      <c r="I49" s="10">
        <f t="shared" si="19"/>
        <v>0</v>
      </c>
      <c r="J49" s="10">
        <f t="shared" si="53"/>
        <v>0</v>
      </c>
      <c r="K49" s="10">
        <f t="shared" si="21"/>
        <v>0</v>
      </c>
      <c r="L49" s="10">
        <f t="shared" si="22"/>
        <v>0</v>
      </c>
      <c r="M49" s="10">
        <f t="shared" si="23"/>
        <v>0</v>
      </c>
      <c r="N49" s="10">
        <f t="shared" si="24"/>
        <v>0</v>
      </c>
      <c r="O49" s="27"/>
      <c r="P49" s="12">
        <f>+$O$49*C49</f>
        <v>0</v>
      </c>
      <c r="Q49" s="12">
        <f>+$O$49*D49</f>
        <v>0</v>
      </c>
      <c r="R49" s="12">
        <f>+$O$49*E49</f>
        <v>0</v>
      </c>
      <c r="S49" s="12">
        <f>+$O$49*F49</f>
        <v>0</v>
      </c>
      <c r="T49" s="12">
        <f>+$O$49*G49</f>
        <v>0</v>
      </c>
      <c r="U49" s="12">
        <f>+$O$49*H49</f>
        <v>0</v>
      </c>
      <c r="V49" s="12">
        <f>+$O$49*I49</f>
        <v>0</v>
      </c>
      <c r="W49" s="12">
        <f>+$O$49*J49</f>
        <v>0</v>
      </c>
      <c r="X49" s="12">
        <f>+$O$49*K49</f>
        <v>0</v>
      </c>
      <c r="Y49" s="12">
        <f>+$O$49*L49</f>
        <v>0</v>
      </c>
      <c r="Z49" s="12">
        <f>+$O$49*M49</f>
        <v>0</v>
      </c>
      <c r="AA49" s="12">
        <f>+$O$49*N49</f>
        <v>0</v>
      </c>
      <c r="AB49" s="15"/>
      <c r="AC49" s="15"/>
      <c r="AD49" s="15"/>
      <c r="AE49" s="15">
        <v>176</v>
      </c>
      <c r="AF49" s="15">
        <v>154</v>
      </c>
      <c r="AG49" s="15">
        <v>220</v>
      </c>
      <c r="AH49" s="15">
        <v>1309</v>
      </c>
      <c r="AI49" s="15">
        <v>1386</v>
      </c>
      <c r="AJ49" s="15">
        <v>1155</v>
      </c>
      <c r="AK49" s="15">
        <v>495</v>
      </c>
      <c r="AL49" s="15">
        <v>341</v>
      </c>
      <c r="AM49" s="15">
        <v>264</v>
      </c>
      <c r="AN49" s="14">
        <f t="shared" si="0"/>
        <v>5500</v>
      </c>
      <c r="AO49" s="3">
        <v>70</v>
      </c>
      <c r="AP49" s="3">
        <v>70</v>
      </c>
      <c r="AQ49" s="3">
        <v>70</v>
      </c>
      <c r="AR49" s="3">
        <v>70</v>
      </c>
      <c r="AS49" s="3">
        <v>70</v>
      </c>
      <c r="AT49" s="3">
        <v>70</v>
      </c>
      <c r="AU49" s="3">
        <v>60</v>
      </c>
      <c r="AV49" s="3">
        <v>60</v>
      </c>
      <c r="AW49" s="3">
        <v>60</v>
      </c>
      <c r="AX49" s="3">
        <v>60</v>
      </c>
      <c r="AY49" s="3">
        <v>60</v>
      </c>
      <c r="AZ49" s="3">
        <v>60</v>
      </c>
      <c r="BB49" s="29">
        <f t="shared" si="1"/>
        <v>0</v>
      </c>
      <c r="BC49" s="29">
        <f t="shared" si="2"/>
        <v>0</v>
      </c>
      <c r="BD49" s="29">
        <f t="shared" si="3"/>
        <v>0</v>
      </c>
      <c r="BE49" s="29">
        <f t="shared" si="4"/>
        <v>123.2</v>
      </c>
      <c r="BF49" s="29">
        <f t="shared" si="5"/>
        <v>107.8</v>
      </c>
      <c r="BG49" s="29">
        <f t="shared" si="6"/>
        <v>154</v>
      </c>
      <c r="BH49" s="29">
        <f t="shared" si="7"/>
        <v>785.4</v>
      </c>
      <c r="BI49" s="29">
        <f t="shared" si="8"/>
        <v>831.6</v>
      </c>
      <c r="BJ49" s="29">
        <f t="shared" si="9"/>
        <v>693</v>
      </c>
      <c r="BK49" s="29">
        <f t="shared" si="12"/>
        <v>297</v>
      </c>
      <c r="BL49" s="29">
        <f t="shared" si="54"/>
        <v>204.6</v>
      </c>
      <c r="BM49" s="29">
        <f t="shared" si="55"/>
        <v>158.4</v>
      </c>
    </row>
    <row r="50" spans="1:65" ht="15.75">
      <c r="A50" s="19" t="s">
        <v>39</v>
      </c>
      <c r="C50" s="10">
        <f t="shared" si="13"/>
        <v>0</v>
      </c>
      <c r="D50" s="10">
        <f t="shared" si="14"/>
        <v>0</v>
      </c>
      <c r="E50" s="10">
        <f t="shared" si="15"/>
        <v>0</v>
      </c>
      <c r="F50" s="10">
        <f t="shared" si="16"/>
        <v>0</v>
      </c>
      <c r="G50" s="10">
        <f t="shared" si="17"/>
        <v>0</v>
      </c>
      <c r="H50" s="10">
        <f t="shared" si="18"/>
        <v>0</v>
      </c>
      <c r="I50" s="10">
        <f t="shared" si="19"/>
        <v>0</v>
      </c>
      <c r="J50" s="10">
        <f t="shared" si="53"/>
        <v>0</v>
      </c>
      <c r="K50" s="10">
        <f t="shared" si="21"/>
        <v>0</v>
      </c>
      <c r="L50" s="10">
        <f t="shared" si="22"/>
        <v>0</v>
      </c>
      <c r="M50" s="10">
        <f t="shared" si="23"/>
        <v>0</v>
      </c>
      <c r="N50" s="10">
        <f t="shared" si="24"/>
        <v>0</v>
      </c>
      <c r="O50" s="27"/>
      <c r="P50" s="12">
        <f>+$O$50*C50</f>
        <v>0</v>
      </c>
      <c r="Q50" s="12">
        <f>+$O$50*D50</f>
        <v>0</v>
      </c>
      <c r="R50" s="12">
        <f>+$O$50*E50</f>
        <v>0</v>
      </c>
      <c r="S50" s="12">
        <f>+$O$50*F50</f>
        <v>0</v>
      </c>
      <c r="T50" s="12">
        <f>+$O$50*G50</f>
        <v>0</v>
      </c>
      <c r="U50" s="12">
        <f>+$O$50*H50</f>
        <v>0</v>
      </c>
      <c r="V50" s="12">
        <f>+$O$50*I50</f>
        <v>0</v>
      </c>
      <c r="W50" s="12">
        <f>+$O$50*J50</f>
        <v>0</v>
      </c>
      <c r="X50" s="12">
        <f>+$O$50*K50</f>
        <v>0</v>
      </c>
      <c r="Y50" s="12">
        <f>+$O$50*L50</f>
        <v>0</v>
      </c>
      <c r="Z50" s="12">
        <f>+$O$50*M50</f>
        <v>0</v>
      </c>
      <c r="AA50" s="12">
        <f>+$O$50*N50</f>
        <v>0</v>
      </c>
      <c r="AB50" s="15">
        <v>542</v>
      </c>
      <c r="AC50" s="15">
        <v>636</v>
      </c>
      <c r="AD50" s="15">
        <v>692</v>
      </c>
      <c r="AE50" s="15">
        <v>544</v>
      </c>
      <c r="AF50" s="15">
        <v>476</v>
      </c>
      <c r="AG50" s="15">
        <v>680</v>
      </c>
      <c r="AH50" s="15">
        <v>1098</v>
      </c>
      <c r="AI50" s="15">
        <v>1163</v>
      </c>
      <c r="AJ50" s="15">
        <v>959</v>
      </c>
      <c r="AK50" s="15">
        <v>765</v>
      </c>
      <c r="AL50" s="15">
        <v>527</v>
      </c>
      <c r="AM50" s="15">
        <v>408</v>
      </c>
      <c r="AN50" s="14">
        <f t="shared" si="0"/>
        <v>8490</v>
      </c>
      <c r="AO50" s="3">
        <v>70</v>
      </c>
      <c r="AP50" s="3">
        <v>70</v>
      </c>
      <c r="AQ50" s="3">
        <v>70</v>
      </c>
      <c r="AR50" s="3">
        <v>70</v>
      </c>
      <c r="AS50" s="3">
        <v>70</v>
      </c>
      <c r="AT50" s="3">
        <v>70</v>
      </c>
      <c r="AU50" s="3">
        <v>60</v>
      </c>
      <c r="AV50" s="3">
        <v>60</v>
      </c>
      <c r="AW50" s="3">
        <v>60</v>
      </c>
      <c r="AX50" s="3">
        <v>60</v>
      </c>
      <c r="AY50" s="3">
        <v>60</v>
      </c>
      <c r="AZ50" s="3">
        <v>60</v>
      </c>
      <c r="BB50" s="29">
        <f t="shared" si="1"/>
        <v>379.4</v>
      </c>
      <c r="BC50" s="29">
        <f t="shared" si="2"/>
        <v>445.2</v>
      </c>
      <c r="BD50" s="29">
        <f t="shared" si="3"/>
        <v>484.4</v>
      </c>
      <c r="BE50" s="29">
        <f t="shared" si="4"/>
        <v>380.8</v>
      </c>
      <c r="BF50" s="29">
        <f t="shared" si="5"/>
        <v>333.2</v>
      </c>
      <c r="BG50" s="29">
        <f t="shared" si="6"/>
        <v>476</v>
      </c>
      <c r="BH50" s="29">
        <f t="shared" si="7"/>
        <v>658.8</v>
      </c>
      <c r="BI50" s="29">
        <f t="shared" si="8"/>
        <v>697.8</v>
      </c>
      <c r="BJ50" s="29">
        <f t="shared" si="9"/>
        <v>575.4</v>
      </c>
      <c r="BK50" s="29">
        <f t="shared" si="12"/>
        <v>459</v>
      </c>
      <c r="BL50" s="29">
        <f t="shared" si="54"/>
        <v>316.2</v>
      </c>
      <c r="BM50" s="29">
        <f t="shared" si="55"/>
        <v>244.8</v>
      </c>
    </row>
    <row r="51" spans="1:65" ht="15.75">
      <c r="A51" s="19" t="s">
        <v>48</v>
      </c>
      <c r="C51" s="10">
        <f t="shared" si="13"/>
        <v>0</v>
      </c>
      <c r="D51" s="10">
        <f t="shared" si="14"/>
        <v>0</v>
      </c>
      <c r="E51" s="10">
        <f t="shared" si="15"/>
        <v>0</v>
      </c>
      <c r="F51" s="10">
        <f t="shared" si="16"/>
        <v>0</v>
      </c>
      <c r="G51" s="10">
        <f t="shared" si="17"/>
        <v>0</v>
      </c>
      <c r="H51" s="10">
        <f t="shared" si="18"/>
        <v>0</v>
      </c>
      <c r="I51" s="10">
        <f t="shared" si="19"/>
        <v>0</v>
      </c>
      <c r="J51" s="10">
        <f t="shared" si="53"/>
        <v>0</v>
      </c>
      <c r="K51" s="10">
        <f t="shared" si="21"/>
        <v>0</v>
      </c>
      <c r="L51" s="10">
        <f t="shared" si="22"/>
        <v>0</v>
      </c>
      <c r="M51" s="10">
        <f t="shared" si="23"/>
        <v>0</v>
      </c>
      <c r="N51" s="10">
        <f t="shared" si="24"/>
        <v>0</v>
      </c>
      <c r="O51" s="27"/>
      <c r="P51" s="12">
        <f>+$O$51*C51</f>
        <v>0</v>
      </c>
      <c r="Q51" s="12">
        <f>+$O$51*D51</f>
        <v>0</v>
      </c>
      <c r="R51" s="12">
        <f>+$O$51*E51</f>
        <v>0</v>
      </c>
      <c r="S51" s="12">
        <f>+$O$51*F51</f>
        <v>0</v>
      </c>
      <c r="T51" s="12">
        <f>+$O$51*G51</f>
        <v>0</v>
      </c>
      <c r="U51" s="12">
        <f>+$O$51*H51</f>
        <v>0</v>
      </c>
      <c r="V51" s="12">
        <f>+$O$51*I51</f>
        <v>0</v>
      </c>
      <c r="W51" s="12">
        <f>+$O$51*J51</f>
        <v>0</v>
      </c>
      <c r="X51" s="12">
        <f>+$O$51*K51</f>
        <v>0</v>
      </c>
      <c r="Y51" s="12">
        <f>+$O$51*L51</f>
        <v>0</v>
      </c>
      <c r="Z51" s="12">
        <f>+$O$51*M51</f>
        <v>0</v>
      </c>
      <c r="AA51" s="12">
        <f>+$O$51*N51</f>
        <v>0</v>
      </c>
      <c r="AB51" s="15">
        <v>377</v>
      </c>
      <c r="AC51" s="15">
        <v>442</v>
      </c>
      <c r="AD51" s="15">
        <v>481</v>
      </c>
      <c r="AE51" s="15">
        <v>333</v>
      </c>
      <c r="AF51" s="15">
        <v>291</v>
      </c>
      <c r="AG51" s="15">
        <v>416</v>
      </c>
      <c r="AH51" s="15">
        <v>995</v>
      </c>
      <c r="AI51" s="15">
        <v>1053</v>
      </c>
      <c r="AJ51" s="15">
        <v>878</v>
      </c>
      <c r="AK51" s="15">
        <v>556</v>
      </c>
      <c r="AL51" s="15">
        <v>383</v>
      </c>
      <c r="AM51" s="15">
        <v>296</v>
      </c>
      <c r="AN51" s="14">
        <f t="shared" si="0"/>
        <v>6501</v>
      </c>
      <c r="AO51" s="3">
        <v>70</v>
      </c>
      <c r="AP51" s="3">
        <v>70</v>
      </c>
      <c r="AQ51" s="3">
        <v>70</v>
      </c>
      <c r="AR51" s="3">
        <v>70</v>
      </c>
      <c r="AS51" s="3">
        <v>70</v>
      </c>
      <c r="AT51" s="3">
        <v>70</v>
      </c>
      <c r="AU51" s="3">
        <v>60</v>
      </c>
      <c r="AV51" s="3">
        <v>60</v>
      </c>
      <c r="AW51" s="3">
        <v>60</v>
      </c>
      <c r="AX51" s="3">
        <v>60</v>
      </c>
      <c r="AY51" s="3">
        <v>60</v>
      </c>
      <c r="AZ51" s="3">
        <v>60</v>
      </c>
      <c r="BB51" s="29">
        <f t="shared" si="1"/>
        <v>263.9</v>
      </c>
      <c r="BC51" s="29">
        <f t="shared" si="2"/>
        <v>309.4</v>
      </c>
      <c r="BD51" s="29">
        <f t="shared" si="3"/>
        <v>336.7</v>
      </c>
      <c r="BE51" s="29">
        <f t="shared" si="4"/>
        <v>233.1</v>
      </c>
      <c r="BF51" s="29">
        <f t="shared" si="5"/>
        <v>203.7</v>
      </c>
      <c r="BG51" s="29">
        <f t="shared" si="6"/>
        <v>291.2</v>
      </c>
      <c r="BH51" s="29">
        <f t="shared" si="7"/>
        <v>597</v>
      </c>
      <c r="BI51" s="29">
        <f t="shared" si="8"/>
        <v>631.8</v>
      </c>
      <c r="BJ51" s="29">
        <f t="shared" si="9"/>
        <v>526.8</v>
      </c>
      <c r="BK51" s="29">
        <f t="shared" si="12"/>
        <v>333.6</v>
      </c>
      <c r="BL51" s="29">
        <f t="shared" si="54"/>
        <v>229.8</v>
      </c>
      <c r="BM51" s="29">
        <f t="shared" si="55"/>
        <v>177.6</v>
      </c>
    </row>
    <row r="52" spans="1:65" ht="15.75">
      <c r="A52" s="19" t="s">
        <v>41</v>
      </c>
      <c r="C52" s="10">
        <f t="shared" si="13"/>
        <v>0</v>
      </c>
      <c r="D52" s="10">
        <f t="shared" si="14"/>
        <v>0</v>
      </c>
      <c r="E52" s="10">
        <f t="shared" si="15"/>
        <v>0</v>
      </c>
      <c r="F52" s="10">
        <f t="shared" si="16"/>
        <v>0</v>
      </c>
      <c r="G52" s="10">
        <f t="shared" si="17"/>
        <v>0</v>
      </c>
      <c r="H52" s="10">
        <f t="shared" si="18"/>
        <v>0</v>
      </c>
      <c r="I52" s="10">
        <f t="shared" si="19"/>
        <v>0</v>
      </c>
      <c r="J52" s="10">
        <f t="shared" si="53"/>
        <v>0</v>
      </c>
      <c r="K52" s="10">
        <f t="shared" si="21"/>
        <v>0</v>
      </c>
      <c r="L52" s="10">
        <f t="shared" si="22"/>
        <v>0</v>
      </c>
      <c r="M52" s="10">
        <f t="shared" si="23"/>
        <v>0</v>
      </c>
      <c r="N52" s="10">
        <f t="shared" si="24"/>
        <v>0</v>
      </c>
      <c r="O52" s="27"/>
      <c r="P52" s="12">
        <f>+$O$52*C52</f>
        <v>0</v>
      </c>
      <c r="Q52" s="12">
        <f>+$O$52*D52</f>
        <v>0</v>
      </c>
      <c r="R52" s="12">
        <f>+$O$52*E52</f>
        <v>0</v>
      </c>
      <c r="S52" s="12">
        <f>+$O$52*F52</f>
        <v>0</v>
      </c>
      <c r="T52" s="12">
        <f>+$O$52*G52</f>
        <v>0</v>
      </c>
      <c r="U52" s="12">
        <f>+$O$52*H52</f>
        <v>0</v>
      </c>
      <c r="V52" s="12">
        <f>+$O$52*I52</f>
        <v>0</v>
      </c>
      <c r="W52" s="12">
        <f>+$O$52*J52</f>
        <v>0</v>
      </c>
      <c r="X52" s="12">
        <f>+$O$52*K52</f>
        <v>0</v>
      </c>
      <c r="Y52" s="12">
        <f>+$O$52*L52</f>
        <v>0</v>
      </c>
      <c r="Z52" s="12">
        <f>+$O$52*M52</f>
        <v>0</v>
      </c>
      <c r="AA52" s="12">
        <f>+$O$52*N52</f>
        <v>0</v>
      </c>
      <c r="AB52" s="15">
        <v>162</v>
      </c>
      <c r="AC52" s="15">
        <v>190</v>
      </c>
      <c r="AD52" s="15">
        <v>207</v>
      </c>
      <c r="AE52" s="15">
        <v>166</v>
      </c>
      <c r="AF52" s="15">
        <v>146</v>
      </c>
      <c r="AG52" s="15">
        <v>208</v>
      </c>
      <c r="AH52" s="15">
        <v>734</v>
      </c>
      <c r="AI52" s="15">
        <v>777</v>
      </c>
      <c r="AJ52" s="15">
        <v>648</v>
      </c>
      <c r="AK52" s="15">
        <v>342</v>
      </c>
      <c r="AL52" s="15">
        <v>223</v>
      </c>
      <c r="AM52" s="15">
        <v>173</v>
      </c>
      <c r="AN52" s="14">
        <f t="shared" si="0"/>
        <v>3976</v>
      </c>
      <c r="AO52" s="3">
        <v>70</v>
      </c>
      <c r="AP52" s="3">
        <v>70</v>
      </c>
      <c r="AQ52" s="3">
        <v>70</v>
      </c>
      <c r="AR52" s="3">
        <v>70</v>
      </c>
      <c r="AS52" s="3">
        <v>70</v>
      </c>
      <c r="AT52" s="3">
        <v>70</v>
      </c>
      <c r="AU52" s="3">
        <v>60</v>
      </c>
      <c r="AV52" s="3">
        <v>60</v>
      </c>
      <c r="AW52" s="3">
        <v>60</v>
      </c>
      <c r="AX52" s="3">
        <v>60</v>
      </c>
      <c r="AY52" s="3">
        <v>60</v>
      </c>
      <c r="AZ52" s="3">
        <v>60</v>
      </c>
      <c r="BB52" s="29">
        <f t="shared" si="1"/>
        <v>113.4</v>
      </c>
      <c r="BC52" s="29">
        <f t="shared" si="2"/>
        <v>133</v>
      </c>
      <c r="BD52" s="29">
        <f t="shared" si="3"/>
        <v>144.9</v>
      </c>
      <c r="BE52" s="29">
        <f t="shared" si="4"/>
        <v>116.2</v>
      </c>
      <c r="BF52" s="29">
        <f t="shared" si="5"/>
        <v>102.2</v>
      </c>
      <c r="BG52" s="29">
        <f t="shared" si="6"/>
        <v>145.6</v>
      </c>
      <c r="BH52" s="29">
        <f t="shared" si="7"/>
        <v>440.4</v>
      </c>
      <c r="BI52" s="29">
        <f t="shared" si="8"/>
        <v>466.2</v>
      </c>
      <c r="BJ52" s="29">
        <f t="shared" si="9"/>
        <v>388.8</v>
      </c>
      <c r="BK52" s="29">
        <f t="shared" si="12"/>
        <v>205.2</v>
      </c>
      <c r="BL52" s="29">
        <f t="shared" si="54"/>
        <v>133.8</v>
      </c>
      <c r="BM52" s="29">
        <f t="shared" si="55"/>
        <v>103.8</v>
      </c>
    </row>
    <row r="53" spans="1:65" ht="15.75">
      <c r="A53" t="s">
        <v>56</v>
      </c>
      <c r="C53" s="10">
        <f t="shared" si="13"/>
        <v>0</v>
      </c>
      <c r="D53" s="10">
        <f t="shared" si="14"/>
        <v>0</v>
      </c>
      <c r="E53" s="10">
        <f t="shared" si="15"/>
        <v>0</v>
      </c>
      <c r="F53" s="10">
        <f t="shared" si="16"/>
        <v>0</v>
      </c>
      <c r="G53" s="10">
        <f t="shared" si="17"/>
        <v>0</v>
      </c>
      <c r="H53" s="10">
        <f t="shared" si="18"/>
        <v>0</v>
      </c>
      <c r="I53" s="10">
        <f t="shared" si="19"/>
        <v>0</v>
      </c>
      <c r="J53" s="10">
        <f t="shared" si="53"/>
        <v>0</v>
      </c>
      <c r="K53" s="10">
        <f t="shared" si="21"/>
        <v>0</v>
      </c>
      <c r="L53" s="10">
        <f t="shared" si="22"/>
        <v>0</v>
      </c>
      <c r="M53" s="10">
        <f t="shared" si="23"/>
        <v>0</v>
      </c>
      <c r="N53" s="10">
        <f t="shared" si="24"/>
        <v>0</v>
      </c>
      <c r="O53" s="27"/>
      <c r="P53" s="12">
        <f>+$O$53*C53</f>
        <v>0</v>
      </c>
      <c r="Q53" s="12">
        <f>+$O$53*D53</f>
        <v>0</v>
      </c>
      <c r="R53" s="12">
        <f>+$O$53*E53</f>
        <v>0</v>
      </c>
      <c r="S53" s="12">
        <f>+$O$53*F53</f>
        <v>0</v>
      </c>
      <c r="T53" s="12">
        <f>+$O$53*G53</f>
        <v>0</v>
      </c>
      <c r="U53" s="12">
        <f>+$O$53*H53</f>
        <v>0</v>
      </c>
      <c r="V53" s="12">
        <f>+$O$53*I53</f>
        <v>0</v>
      </c>
      <c r="W53" s="12">
        <f>+$O$53*J53</f>
        <v>0</v>
      </c>
      <c r="X53" s="12">
        <f>+$O$53*K53</f>
        <v>0</v>
      </c>
      <c r="Y53" s="12">
        <f>+$O$53*L53</f>
        <v>0</v>
      </c>
      <c r="Z53" s="12">
        <f>+$O$53*M53</f>
        <v>0</v>
      </c>
      <c r="AA53" s="12">
        <f>+$O$53*N53</f>
        <v>0</v>
      </c>
      <c r="AC53" s="15">
        <v>300</v>
      </c>
      <c r="AD53" s="15">
        <v>300</v>
      </c>
      <c r="AE53" s="15">
        <v>476</v>
      </c>
      <c r="AF53" s="15">
        <v>554</v>
      </c>
      <c r="AG53" s="15">
        <v>720</v>
      </c>
      <c r="AH53" s="15">
        <v>1709</v>
      </c>
      <c r="AI53" s="15">
        <v>1386</v>
      </c>
      <c r="AJ53" s="15">
        <v>1155</v>
      </c>
      <c r="AK53" s="15">
        <v>495</v>
      </c>
      <c r="AL53" s="15">
        <v>341</v>
      </c>
      <c r="AM53" s="15">
        <v>264</v>
      </c>
      <c r="AN53" s="14">
        <f t="shared" si="0"/>
        <v>7700</v>
      </c>
      <c r="AO53" s="3">
        <v>70</v>
      </c>
      <c r="AP53" s="3">
        <v>70</v>
      </c>
      <c r="AQ53" s="3">
        <v>70</v>
      </c>
      <c r="AR53" s="3">
        <v>70</v>
      </c>
      <c r="AS53" s="3">
        <v>70</v>
      </c>
      <c r="AT53" s="3">
        <v>70</v>
      </c>
      <c r="AU53" s="3">
        <v>60</v>
      </c>
      <c r="AV53" s="3">
        <v>60</v>
      </c>
      <c r="AW53" s="3">
        <v>60</v>
      </c>
      <c r="AX53" s="3">
        <v>60</v>
      </c>
      <c r="AY53" s="3">
        <v>60</v>
      </c>
      <c r="AZ53" s="3">
        <v>60</v>
      </c>
      <c r="BB53" s="29">
        <f t="shared" si="1"/>
        <v>0</v>
      </c>
      <c r="BC53" s="29">
        <f t="shared" si="2"/>
        <v>210</v>
      </c>
      <c r="BD53" s="29">
        <f t="shared" si="3"/>
        <v>210</v>
      </c>
      <c r="BE53" s="29">
        <f t="shared" si="4"/>
        <v>333.2</v>
      </c>
      <c r="BF53" s="29">
        <f t="shared" si="5"/>
        <v>387.8</v>
      </c>
      <c r="BG53" s="29">
        <f t="shared" si="6"/>
        <v>504</v>
      </c>
      <c r="BH53" s="29">
        <f t="shared" si="7"/>
        <v>1025.4</v>
      </c>
      <c r="BI53" s="29">
        <f t="shared" si="8"/>
        <v>831.6</v>
      </c>
      <c r="BJ53" s="29">
        <f t="shared" si="9"/>
        <v>693</v>
      </c>
      <c r="BK53" s="29">
        <f t="shared" si="12"/>
        <v>297</v>
      </c>
      <c r="BL53" s="29">
        <f t="shared" si="54"/>
        <v>204.6</v>
      </c>
      <c r="BM53" s="29">
        <f t="shared" si="55"/>
        <v>158.4</v>
      </c>
    </row>
    <row r="54" spans="1:65" ht="16.5">
      <c r="A54" t="s">
        <v>57</v>
      </c>
      <c r="C54" s="10">
        <f t="shared" si="13"/>
        <v>0</v>
      </c>
      <c r="D54" s="10">
        <f t="shared" si="14"/>
        <v>0</v>
      </c>
      <c r="E54" s="10">
        <f t="shared" si="15"/>
        <v>0</v>
      </c>
      <c r="F54" s="10">
        <f t="shared" si="16"/>
        <v>0</v>
      </c>
      <c r="G54" s="10">
        <f t="shared" si="17"/>
        <v>0</v>
      </c>
      <c r="H54" s="10">
        <f t="shared" si="18"/>
        <v>0</v>
      </c>
      <c r="I54" s="10">
        <f t="shared" si="19"/>
        <v>0</v>
      </c>
      <c r="J54" s="10">
        <f t="shared" si="53"/>
        <v>0</v>
      </c>
      <c r="K54" s="10">
        <f t="shared" si="21"/>
        <v>0</v>
      </c>
      <c r="L54" s="10">
        <f t="shared" si="22"/>
        <v>0</v>
      </c>
      <c r="M54" s="10">
        <f t="shared" si="23"/>
        <v>0</v>
      </c>
      <c r="N54" s="10">
        <f t="shared" si="24"/>
        <v>0</v>
      </c>
      <c r="O54" s="27"/>
      <c r="P54" s="12">
        <f>+$O$54*C54</f>
        <v>0</v>
      </c>
      <c r="Q54" s="12">
        <f>+$O$54*D54</f>
        <v>0</v>
      </c>
      <c r="R54" s="12">
        <f>+$O$54*E54</f>
        <v>0</v>
      </c>
      <c r="S54" s="12">
        <f>+$O$54*F54</f>
        <v>0</v>
      </c>
      <c r="T54" s="12">
        <f>+$O$54*G54</f>
        <v>0</v>
      </c>
      <c r="U54" s="12">
        <f>+$O$54*H54</f>
        <v>0</v>
      </c>
      <c r="V54" s="12">
        <f>+$O$54*I54</f>
        <v>0</v>
      </c>
      <c r="W54" s="12">
        <f>+$O$54*J54</f>
        <v>0</v>
      </c>
      <c r="X54" s="12">
        <f>+$O$54*K54</f>
        <v>0</v>
      </c>
      <c r="Y54" s="12">
        <f>+$O$54*L54</f>
        <v>0</v>
      </c>
      <c r="Z54" s="12">
        <f>+$O$54*M54</f>
        <v>0</v>
      </c>
      <c r="AA54" s="12">
        <f>+$O$54*N54</f>
        <v>0</v>
      </c>
      <c r="AB54" s="20">
        <f>6200*0.26*0.3333333</f>
        <v>537.3332796</v>
      </c>
      <c r="AC54" s="20">
        <f>6200*0.26*0.3333333</f>
        <v>537.3332796</v>
      </c>
      <c r="AD54" s="20">
        <f>6200*0.26*0.3333333</f>
        <v>537.3332796</v>
      </c>
      <c r="AE54" s="20">
        <f>6200*0.17*0.3333333</f>
        <v>351.3332982</v>
      </c>
      <c r="AF54" s="20">
        <f>6200*0.17*0.3333333</f>
        <v>351.3332982</v>
      </c>
      <c r="AG54" s="20">
        <f>6200*0.17*0.3333333</f>
        <v>351.3332982</v>
      </c>
      <c r="AH54" s="20">
        <f>6200*0.38*0.33333333</f>
        <v>785.33332548</v>
      </c>
      <c r="AI54" s="20">
        <f>6200*0.38*0.33333333</f>
        <v>785.33332548</v>
      </c>
      <c r="AJ54" s="20">
        <f>6200*0.38*0.33333333</f>
        <v>785.33332548</v>
      </c>
      <c r="AK54" s="20">
        <f>6200*0.19*0.3333333</f>
        <v>392.6666274</v>
      </c>
      <c r="AL54" s="20">
        <f>6200*0.19*0.3333333</f>
        <v>392.6666274</v>
      </c>
      <c r="AM54" s="20">
        <f>6200*0.19*0.3333333</f>
        <v>392.6666274</v>
      </c>
      <c r="AN54" s="14">
        <f t="shared" si="0"/>
        <v>6199.99959204</v>
      </c>
      <c r="AO54" s="23">
        <v>75</v>
      </c>
      <c r="AP54" s="23">
        <v>75</v>
      </c>
      <c r="AQ54" s="23">
        <v>75</v>
      </c>
      <c r="AR54" s="23">
        <v>75</v>
      </c>
      <c r="AS54" s="23">
        <v>75</v>
      </c>
      <c r="AT54" s="23">
        <v>75</v>
      </c>
      <c r="AU54" s="23">
        <v>70</v>
      </c>
      <c r="AV54" s="23">
        <v>70</v>
      </c>
      <c r="AW54" s="23">
        <v>70</v>
      </c>
      <c r="AX54" s="23">
        <v>75</v>
      </c>
      <c r="AY54" s="23">
        <v>75</v>
      </c>
      <c r="AZ54" s="23">
        <v>75</v>
      </c>
      <c r="BB54" s="29">
        <f t="shared" si="1"/>
        <v>402.9999597</v>
      </c>
      <c r="BC54" s="29">
        <f t="shared" si="2"/>
        <v>402.9999597</v>
      </c>
      <c r="BD54" s="29">
        <f t="shared" si="3"/>
        <v>402.9999597</v>
      </c>
      <c r="BE54" s="29">
        <f t="shared" si="4"/>
        <v>263.49997365</v>
      </c>
      <c r="BF54" s="29">
        <f t="shared" si="5"/>
        <v>263.49997365</v>
      </c>
      <c r="BG54" s="29">
        <f t="shared" si="6"/>
        <v>263.49997365</v>
      </c>
      <c r="BH54" s="29">
        <f t="shared" si="7"/>
        <v>549.733327836</v>
      </c>
      <c r="BI54" s="29">
        <f t="shared" si="8"/>
        <v>549.733327836</v>
      </c>
      <c r="BJ54" s="29">
        <f t="shared" si="9"/>
        <v>549.733327836</v>
      </c>
      <c r="BK54" s="29">
        <f t="shared" si="12"/>
        <v>294.49997055</v>
      </c>
      <c r="BL54" s="29">
        <f t="shared" si="54"/>
        <v>294.49997055</v>
      </c>
      <c r="BM54" s="29">
        <f t="shared" si="55"/>
        <v>294.49997055</v>
      </c>
    </row>
    <row r="55" spans="1:65" ht="15">
      <c r="A55" t="s">
        <v>58</v>
      </c>
      <c r="C55" s="10">
        <f t="shared" si="13"/>
        <v>0</v>
      </c>
      <c r="D55" s="10">
        <f t="shared" si="14"/>
        <v>0</v>
      </c>
      <c r="E55" s="10">
        <f t="shared" si="15"/>
        <v>0</v>
      </c>
      <c r="F55" s="10">
        <f t="shared" si="16"/>
        <v>0</v>
      </c>
      <c r="G55" s="10">
        <f t="shared" si="17"/>
        <v>0</v>
      </c>
      <c r="H55" s="10">
        <f t="shared" si="18"/>
        <v>0</v>
      </c>
      <c r="I55" s="10">
        <f t="shared" si="19"/>
        <v>0</v>
      </c>
      <c r="J55" s="10">
        <f t="shared" si="53"/>
        <v>0</v>
      </c>
      <c r="K55" s="10">
        <f t="shared" si="21"/>
        <v>0</v>
      </c>
      <c r="L55" s="10">
        <f t="shared" si="22"/>
        <v>0</v>
      </c>
      <c r="M55" s="10">
        <f t="shared" si="23"/>
        <v>0</v>
      </c>
      <c r="N55" s="10">
        <f t="shared" si="24"/>
        <v>0</v>
      </c>
      <c r="O55" s="27"/>
      <c r="P55" s="12">
        <f>+$O$55*C55</f>
        <v>0</v>
      </c>
      <c r="Q55" s="12">
        <f>+$O$55*D55</f>
        <v>0</v>
      </c>
      <c r="R55" s="12">
        <f>+$O$55*E55</f>
        <v>0</v>
      </c>
      <c r="S55" s="12">
        <f>+$O$55*F55</f>
        <v>0</v>
      </c>
      <c r="T55" s="12">
        <f>+$O$55*G55</f>
        <v>0</v>
      </c>
      <c r="U55" s="12">
        <f>+$O$55*H55</f>
        <v>0</v>
      </c>
      <c r="V55" s="12">
        <f>+$O$55*I55</f>
        <v>0</v>
      </c>
      <c r="W55" s="12">
        <f>+$O$55*J55</f>
        <v>0</v>
      </c>
      <c r="X55" s="12">
        <f>+$O$55*K55</f>
        <v>0</v>
      </c>
      <c r="Y55" s="12">
        <f>+$O$55*L55</f>
        <v>0</v>
      </c>
      <c r="Z55" s="12">
        <f>+$O$55*M55</f>
        <v>0</v>
      </c>
      <c r="AA55" s="12">
        <f>+$O$55*N55</f>
        <v>0</v>
      </c>
      <c r="AE55">
        <v>176</v>
      </c>
      <c r="AF55">
        <v>154</v>
      </c>
      <c r="AG55">
        <v>220</v>
      </c>
      <c r="AH55">
        <v>1309</v>
      </c>
      <c r="AI55">
        <v>1386</v>
      </c>
      <c r="AJ55">
        <v>1155</v>
      </c>
      <c r="AK55">
        <v>945</v>
      </c>
      <c r="AL55">
        <v>504</v>
      </c>
      <c r="AM55">
        <v>695</v>
      </c>
      <c r="AN55">
        <v>6500</v>
      </c>
      <c r="AO55" s="3">
        <v>70</v>
      </c>
      <c r="AP55" s="3">
        <v>70</v>
      </c>
      <c r="AQ55" s="3">
        <v>70</v>
      </c>
      <c r="AR55" s="3">
        <v>70</v>
      </c>
      <c r="AS55" s="3">
        <v>70</v>
      </c>
      <c r="AT55" s="3">
        <v>70</v>
      </c>
      <c r="AU55" s="3">
        <v>60</v>
      </c>
      <c r="AV55" s="3">
        <v>60</v>
      </c>
      <c r="AW55" s="3">
        <v>60</v>
      </c>
      <c r="AX55" s="3">
        <v>60</v>
      </c>
      <c r="AY55" s="3">
        <v>60</v>
      </c>
      <c r="AZ55" s="3">
        <v>60</v>
      </c>
      <c r="BB55" s="29">
        <f t="shared" si="1"/>
        <v>0</v>
      </c>
      <c r="BC55" s="29">
        <f t="shared" si="2"/>
        <v>0</v>
      </c>
      <c r="BD55" s="29">
        <f t="shared" si="3"/>
        <v>0</v>
      </c>
      <c r="BE55" s="29">
        <f t="shared" si="4"/>
        <v>123.2</v>
      </c>
      <c r="BF55" s="29">
        <f t="shared" si="5"/>
        <v>107.8</v>
      </c>
      <c r="BG55" s="29">
        <f t="shared" si="6"/>
        <v>154</v>
      </c>
      <c r="BH55" s="29">
        <f t="shared" si="7"/>
        <v>785.4</v>
      </c>
      <c r="BI55" s="29">
        <f t="shared" si="8"/>
        <v>831.6</v>
      </c>
      <c r="BJ55" s="29">
        <f t="shared" si="9"/>
        <v>693</v>
      </c>
      <c r="BK55" s="29">
        <f t="shared" si="12"/>
        <v>567</v>
      </c>
      <c r="BL55" s="29">
        <f t="shared" si="54"/>
        <v>302.4</v>
      </c>
      <c r="BM55" s="29">
        <f t="shared" si="55"/>
        <v>417</v>
      </c>
    </row>
    <row r="56" spans="1:65" ht="15">
      <c r="A56" s="19" t="s">
        <v>39</v>
      </c>
      <c r="C56" s="10">
        <f t="shared" si="13"/>
        <v>0</v>
      </c>
      <c r="D56" s="10">
        <f t="shared" si="14"/>
        <v>0</v>
      </c>
      <c r="E56" s="10">
        <f t="shared" si="15"/>
        <v>0</v>
      </c>
      <c r="F56" s="10">
        <f t="shared" si="16"/>
        <v>0</v>
      </c>
      <c r="G56" s="10">
        <f t="shared" si="17"/>
        <v>0</v>
      </c>
      <c r="H56" s="10">
        <f t="shared" si="18"/>
        <v>0</v>
      </c>
      <c r="I56" s="10">
        <f t="shared" si="19"/>
        <v>0</v>
      </c>
      <c r="J56" s="10">
        <f t="shared" si="53"/>
        <v>0</v>
      </c>
      <c r="K56" s="10">
        <f t="shared" si="21"/>
        <v>0</v>
      </c>
      <c r="L56" s="10">
        <f t="shared" si="22"/>
        <v>0</v>
      </c>
      <c r="M56" s="10">
        <f t="shared" si="23"/>
        <v>0</v>
      </c>
      <c r="N56" s="10">
        <f t="shared" si="24"/>
        <v>0</v>
      </c>
      <c r="O56" s="27"/>
      <c r="P56" s="12">
        <f>+$O$56*C56</f>
        <v>0</v>
      </c>
      <c r="Q56" s="12">
        <f>+$O$56*D56</f>
        <v>0</v>
      </c>
      <c r="R56" s="12">
        <f>+$O$56*E56</f>
        <v>0</v>
      </c>
      <c r="S56" s="12">
        <f>+$O$56*F56</f>
        <v>0</v>
      </c>
      <c r="T56" s="12">
        <f>+$O$56*G56</f>
        <v>0</v>
      </c>
      <c r="U56" s="12">
        <f>+$O$56*H56</f>
        <v>0</v>
      </c>
      <c r="V56" s="12">
        <f>+$O$56*I56</f>
        <v>0</v>
      </c>
      <c r="W56" s="12">
        <f>+$O$56*J56</f>
        <v>0</v>
      </c>
      <c r="X56" s="12">
        <f>+$O$56*K56</f>
        <v>0</v>
      </c>
      <c r="Y56" s="12">
        <f>+$O$56*L56</f>
        <v>0</v>
      </c>
      <c r="Z56" s="12">
        <f>+$O$56*M56</f>
        <v>0</v>
      </c>
      <c r="AA56" s="12">
        <f>+$O$56*N56</f>
        <v>0</v>
      </c>
      <c r="AB56">
        <v>542</v>
      </c>
      <c r="AC56" s="15">
        <v>636</v>
      </c>
      <c r="AD56" s="15">
        <v>692</v>
      </c>
      <c r="AE56" s="28">
        <v>220.13538461538462</v>
      </c>
      <c r="AF56" s="28">
        <v>192.61846153846153</v>
      </c>
      <c r="AG56" s="28">
        <v>275.16923076923075</v>
      </c>
      <c r="AH56" s="28">
        <v>1637.2569230769232</v>
      </c>
      <c r="AI56" s="28">
        <v>1733.5661538461538</v>
      </c>
      <c r="AJ56" s="28">
        <v>1444.6384615384616</v>
      </c>
      <c r="AK56" s="28">
        <v>1181.9769230769232</v>
      </c>
      <c r="AL56" s="28">
        <v>630.3876923076923</v>
      </c>
      <c r="AM56" s="28">
        <v>869.2846153846154</v>
      </c>
      <c r="AN56">
        <f>SUM(AB56:AM56)</f>
        <v>10055.033846153845</v>
      </c>
      <c r="AO56" s="3">
        <v>70</v>
      </c>
      <c r="AP56" s="3">
        <v>70</v>
      </c>
      <c r="AQ56" s="3">
        <v>70</v>
      </c>
      <c r="AR56" s="3">
        <v>70</v>
      </c>
      <c r="AS56" s="3">
        <v>70</v>
      </c>
      <c r="AT56" s="3">
        <v>70</v>
      </c>
      <c r="AU56" s="3">
        <v>60</v>
      </c>
      <c r="AV56" s="3">
        <v>60</v>
      </c>
      <c r="AW56" s="3">
        <v>60</v>
      </c>
      <c r="AX56" s="3">
        <v>60</v>
      </c>
      <c r="AY56" s="3">
        <v>60</v>
      </c>
      <c r="AZ56" s="3">
        <v>60</v>
      </c>
      <c r="BB56" s="29">
        <f t="shared" si="1"/>
        <v>379.4</v>
      </c>
      <c r="BC56" s="29">
        <f t="shared" si="2"/>
        <v>445.2</v>
      </c>
      <c r="BD56" s="29">
        <f t="shared" si="3"/>
        <v>484.4</v>
      </c>
      <c r="BE56" s="29">
        <f t="shared" si="4"/>
        <v>154.09476923076923</v>
      </c>
      <c r="BF56" s="29">
        <f t="shared" si="5"/>
        <v>134.83292307692307</v>
      </c>
      <c r="BG56" s="29">
        <f t="shared" si="6"/>
        <v>192.61846153846153</v>
      </c>
      <c r="BH56" s="29">
        <f t="shared" si="7"/>
        <v>982.354153846154</v>
      </c>
      <c r="BI56" s="29">
        <f t="shared" si="8"/>
        <v>1040.1396923076923</v>
      </c>
      <c r="BJ56" s="29">
        <f t="shared" si="9"/>
        <v>866.7830769230769</v>
      </c>
      <c r="BK56" s="29">
        <f t="shared" si="12"/>
        <v>709.186153846154</v>
      </c>
      <c r="BL56" s="29">
        <f t="shared" si="54"/>
        <v>378.23261538461537</v>
      </c>
      <c r="BM56" s="29">
        <f t="shared" si="55"/>
        <v>521.5707692307693</v>
      </c>
    </row>
    <row r="57" spans="1:65" ht="15">
      <c r="A57" s="19" t="s">
        <v>48</v>
      </c>
      <c r="C57" s="10">
        <f t="shared" si="13"/>
        <v>0</v>
      </c>
      <c r="D57" s="10">
        <f t="shared" si="14"/>
        <v>0</v>
      </c>
      <c r="E57" s="10">
        <f t="shared" si="15"/>
        <v>0</v>
      </c>
      <c r="F57" s="10">
        <f t="shared" si="16"/>
        <v>0</v>
      </c>
      <c r="G57" s="10">
        <f t="shared" si="17"/>
        <v>0</v>
      </c>
      <c r="H57" s="10">
        <f t="shared" si="18"/>
        <v>0</v>
      </c>
      <c r="I57" s="10">
        <f t="shared" si="19"/>
        <v>0</v>
      </c>
      <c r="J57" s="10">
        <f t="shared" si="53"/>
        <v>0</v>
      </c>
      <c r="K57" s="10">
        <f t="shared" si="21"/>
        <v>0</v>
      </c>
      <c r="L57" s="10">
        <f t="shared" si="22"/>
        <v>0</v>
      </c>
      <c r="M57" s="10">
        <f t="shared" si="23"/>
        <v>0</v>
      </c>
      <c r="N57" s="10">
        <f t="shared" si="24"/>
        <v>0</v>
      </c>
      <c r="O57" s="27"/>
      <c r="P57" s="12">
        <f>+$O$57*C57</f>
        <v>0</v>
      </c>
      <c r="Q57" s="12">
        <f>+$O$57*D57</f>
        <v>0</v>
      </c>
      <c r="R57" s="12">
        <f>+$O$57*E57</f>
        <v>0</v>
      </c>
      <c r="S57" s="12">
        <f>+$O$57*F57</f>
        <v>0</v>
      </c>
      <c r="T57" s="12">
        <f>+$O$57*G57</f>
        <v>0</v>
      </c>
      <c r="U57" s="12">
        <f>+$O$57*H57</f>
        <v>0</v>
      </c>
      <c r="V57" s="12">
        <f>+$O$57*I57</f>
        <v>0</v>
      </c>
      <c r="W57" s="12">
        <f>+$O$57*J57</f>
        <v>0</v>
      </c>
      <c r="X57" s="12">
        <f>+$O$57*K57</f>
        <v>0</v>
      </c>
      <c r="Y57" s="12">
        <f>+$O$57*L57</f>
        <v>0</v>
      </c>
      <c r="Z57" s="12">
        <f>+$O$57*M57</f>
        <v>0</v>
      </c>
      <c r="AA57" s="12">
        <f>+$O$57*N57</f>
        <v>0</v>
      </c>
      <c r="AB57" s="28">
        <f>+AB56/$AN$56*$AN$57</f>
        <v>404.2751185322867</v>
      </c>
      <c r="AC57" s="28">
        <f>+AC56/$AN$56*$AN$57</f>
        <v>474.3892534806906</v>
      </c>
      <c r="AD57" s="28">
        <f>+AD56/$AN$56*$AN$57</f>
        <v>516.159376428676</v>
      </c>
      <c r="AE57" s="28">
        <f>+AE56/$AN$56*$AN$57</f>
        <v>164.19789429619027</v>
      </c>
      <c r="AF57" s="28">
        <f>+AF56/$AN$56*$AN$57</f>
        <v>143.6731575091665</v>
      </c>
      <c r="AG57" s="28">
        <f>+AG56/$AN$56*$AN$57</f>
        <v>205.24736787023784</v>
      </c>
      <c r="AH57" s="28">
        <f>+AH56/$AN$56*$AN$57</f>
        <v>1221.2218388279152</v>
      </c>
      <c r="AI57" s="28">
        <f>+AI56/$AN$56*$AN$57</f>
        <v>1293.0584175824984</v>
      </c>
      <c r="AJ57" s="28">
        <f>+AJ56/$AN$56*$AN$57</f>
        <v>1077.5486813187488</v>
      </c>
      <c r="AK57" s="28">
        <f>+AK56/$AN$56*$AN$57</f>
        <v>881.6307392607945</v>
      </c>
      <c r="AL57" s="28">
        <f>+AL56/$AN$56*$AN$57</f>
        <v>470.20306093909034</v>
      </c>
      <c r="AM57" s="28">
        <f>+AM56/$AN$56*$AN$57</f>
        <v>648.3950939537059</v>
      </c>
      <c r="AN57">
        <v>7500</v>
      </c>
      <c r="AO57" s="3">
        <v>70</v>
      </c>
      <c r="AP57" s="3">
        <v>70</v>
      </c>
      <c r="AQ57" s="3">
        <v>70</v>
      </c>
      <c r="AR57" s="3">
        <v>70</v>
      </c>
      <c r="AS57" s="3">
        <v>70</v>
      </c>
      <c r="AT57" s="3">
        <v>70</v>
      </c>
      <c r="AU57" s="3">
        <v>60</v>
      </c>
      <c r="AV57" s="3">
        <v>60</v>
      </c>
      <c r="AW57" s="3">
        <v>60</v>
      </c>
      <c r="AX57" s="3">
        <v>60</v>
      </c>
      <c r="AY57" s="3">
        <v>60</v>
      </c>
      <c r="AZ57" s="3">
        <v>60</v>
      </c>
      <c r="BB57" s="29">
        <f t="shared" si="1"/>
        <v>282.9925829726007</v>
      </c>
      <c r="BC57" s="29">
        <f t="shared" si="2"/>
        <v>332.07247743648344</v>
      </c>
      <c r="BD57" s="29">
        <f t="shared" si="3"/>
        <v>361.3115635000732</v>
      </c>
      <c r="BE57" s="29">
        <f t="shared" si="4"/>
        <v>114.93852600733318</v>
      </c>
      <c r="BF57" s="29">
        <f t="shared" si="5"/>
        <v>100.57121025641655</v>
      </c>
      <c r="BG57" s="29">
        <f t="shared" si="6"/>
        <v>143.6731575091665</v>
      </c>
      <c r="BH57" s="29">
        <f t="shared" si="7"/>
        <v>732.7331032967492</v>
      </c>
      <c r="BI57" s="29">
        <f t="shared" si="8"/>
        <v>775.835050549499</v>
      </c>
      <c r="BJ57" s="29">
        <f t="shared" si="9"/>
        <v>646.5292087912493</v>
      </c>
      <c r="BK57" s="29">
        <f t="shared" si="12"/>
        <v>528.9784435564767</v>
      </c>
      <c r="BL57" s="29">
        <f t="shared" si="54"/>
        <v>282.1218365634542</v>
      </c>
      <c r="BM57" s="29">
        <f t="shared" si="55"/>
        <v>389.0370563722235</v>
      </c>
    </row>
    <row r="58" spans="1:65" ht="15">
      <c r="A58" s="19" t="s">
        <v>41</v>
      </c>
      <c r="C58" s="10">
        <f t="shared" si="13"/>
        <v>0</v>
      </c>
      <c r="D58" s="10">
        <f t="shared" si="14"/>
        <v>0</v>
      </c>
      <c r="E58" s="10">
        <f t="shared" si="15"/>
        <v>0</v>
      </c>
      <c r="F58" s="10">
        <f t="shared" si="16"/>
        <v>0</v>
      </c>
      <c r="G58" s="10">
        <f t="shared" si="17"/>
        <v>0</v>
      </c>
      <c r="H58" s="10">
        <f t="shared" si="18"/>
        <v>0</v>
      </c>
      <c r="I58" s="10">
        <f t="shared" si="19"/>
        <v>0</v>
      </c>
      <c r="J58" s="10">
        <f t="shared" si="53"/>
        <v>0</v>
      </c>
      <c r="K58" s="10">
        <f t="shared" si="21"/>
        <v>0</v>
      </c>
      <c r="L58" s="10">
        <f t="shared" si="22"/>
        <v>0</v>
      </c>
      <c r="M58" s="10">
        <f t="shared" si="23"/>
        <v>0</v>
      </c>
      <c r="N58" s="10">
        <f t="shared" si="24"/>
        <v>0</v>
      </c>
      <c r="O58" s="27"/>
      <c r="P58" s="12">
        <f>+$O$58*C58</f>
        <v>0</v>
      </c>
      <c r="Q58" s="12">
        <f>+$O$58*D58</f>
        <v>0</v>
      </c>
      <c r="R58" s="12">
        <f>+$O$58*E58</f>
        <v>0</v>
      </c>
      <c r="S58" s="12">
        <f>+$O$58*F58</f>
        <v>0</v>
      </c>
      <c r="T58" s="12">
        <f>+$O$58*G58</f>
        <v>0</v>
      </c>
      <c r="U58" s="12">
        <f>+$O$58*H58</f>
        <v>0</v>
      </c>
      <c r="V58" s="12">
        <f>+$O$58*I58</f>
        <v>0</v>
      </c>
      <c r="W58" s="12">
        <f>+$O$58*J58</f>
        <v>0</v>
      </c>
      <c r="X58" s="12">
        <f>+$O$58*K58</f>
        <v>0</v>
      </c>
      <c r="Y58" s="12">
        <f>+$O$58*L58</f>
        <v>0</v>
      </c>
      <c r="Z58" s="12">
        <f>+$O$58*M58</f>
        <v>0</v>
      </c>
      <c r="AA58" s="12">
        <f>+$O$58*N58</f>
        <v>0</v>
      </c>
      <c r="AB58" s="28">
        <f>+AB57/$AN$57*$AN$58</f>
        <v>350.3717693946484</v>
      </c>
      <c r="AC58" s="28">
        <f>+AC57/$AN$57*$AN$58</f>
        <v>411.1373530165985</v>
      </c>
      <c r="AD58" s="28">
        <f>+AD57/$AN$57*$AN$58</f>
        <v>447.3381262381858</v>
      </c>
      <c r="AE58" s="28">
        <f>+AE57/$AN$57*$AN$58</f>
        <v>142.30484172336492</v>
      </c>
      <c r="AF58" s="28">
        <f>+AF57/$AN$57*$AN$58</f>
        <v>124.5167365079443</v>
      </c>
      <c r="AG58" s="28">
        <f>+AG57/$AN$57*$AN$58</f>
        <v>177.88105215420612</v>
      </c>
      <c r="AH58" s="28">
        <f>+AH57/$AN$57*$AN$58</f>
        <v>1058.3922603175265</v>
      </c>
      <c r="AI58" s="28">
        <f>+AI57/$AN$57*$AN$58</f>
        <v>1120.6506285714986</v>
      </c>
      <c r="AJ58" s="28">
        <f>+AJ57/$AN$57*$AN$58</f>
        <v>933.8755238095823</v>
      </c>
      <c r="AK58" s="28">
        <f>+AK57/$AN$57*$AN$58</f>
        <v>764.0799740260219</v>
      </c>
      <c r="AL58" s="28">
        <f>+AL57/$AN$57*$AN$58</f>
        <v>407.50931948054495</v>
      </c>
      <c r="AM58" s="28">
        <f>+AM57/$AN$57*$AN$58</f>
        <v>561.9424147598785</v>
      </c>
      <c r="AN58">
        <v>6500</v>
      </c>
      <c r="AO58" s="3">
        <v>70</v>
      </c>
      <c r="AP58" s="3">
        <v>70</v>
      </c>
      <c r="AQ58" s="3">
        <v>70</v>
      </c>
      <c r="AR58" s="3">
        <v>70</v>
      </c>
      <c r="AS58" s="3">
        <v>70</v>
      </c>
      <c r="AT58" s="3">
        <v>70</v>
      </c>
      <c r="AU58" s="3">
        <v>60</v>
      </c>
      <c r="AV58" s="3">
        <v>60</v>
      </c>
      <c r="AW58" s="3">
        <v>60</v>
      </c>
      <c r="AX58" s="3">
        <v>60</v>
      </c>
      <c r="AY58" s="3">
        <v>60</v>
      </c>
      <c r="AZ58" s="3">
        <v>60</v>
      </c>
      <c r="BB58" s="29">
        <f t="shared" si="1"/>
        <v>245.2602385762539</v>
      </c>
      <c r="BC58" s="29">
        <f t="shared" si="2"/>
        <v>287.79614711161895</v>
      </c>
      <c r="BD58" s="29">
        <f t="shared" si="3"/>
        <v>313.13668836673</v>
      </c>
      <c r="BE58" s="29">
        <f t="shared" si="4"/>
        <v>99.61338920635544</v>
      </c>
      <c r="BF58" s="29">
        <f t="shared" si="5"/>
        <v>87.161715555561</v>
      </c>
      <c r="BG58" s="29">
        <f t="shared" si="6"/>
        <v>124.51673650794427</v>
      </c>
      <c r="BH58" s="29">
        <f t="shared" si="7"/>
        <v>635.0353561905159</v>
      </c>
      <c r="BI58" s="29">
        <f t="shared" si="8"/>
        <v>672.3903771428991</v>
      </c>
      <c r="BJ58" s="29">
        <f t="shared" si="9"/>
        <v>560.3253142857494</v>
      </c>
      <c r="BK58" s="29">
        <f t="shared" si="12"/>
        <v>458.4479844156131</v>
      </c>
      <c r="BL58" s="29">
        <f t="shared" si="54"/>
        <v>244.50559168832697</v>
      </c>
      <c r="BM58" s="29">
        <f t="shared" si="55"/>
        <v>337.1654488559271</v>
      </c>
    </row>
    <row r="59" spans="1:65" ht="15">
      <c r="A59" s="30" t="s">
        <v>59</v>
      </c>
      <c r="C59" s="10">
        <f t="shared" si="13"/>
        <v>0</v>
      </c>
      <c r="D59" s="10">
        <f t="shared" si="14"/>
        <v>0</v>
      </c>
      <c r="E59" s="10">
        <f t="shared" si="15"/>
        <v>0</v>
      </c>
      <c r="F59" s="10">
        <f t="shared" si="16"/>
        <v>0</v>
      </c>
      <c r="G59" s="10">
        <f t="shared" si="17"/>
        <v>0</v>
      </c>
      <c r="H59" s="10">
        <f t="shared" si="18"/>
        <v>0</v>
      </c>
      <c r="I59" s="10">
        <f t="shared" si="19"/>
        <v>0</v>
      </c>
      <c r="J59" s="10">
        <f t="shared" si="53"/>
        <v>0</v>
      </c>
      <c r="K59" s="10">
        <f t="shared" si="21"/>
        <v>0</v>
      </c>
      <c r="L59" s="10">
        <f t="shared" si="22"/>
        <v>0</v>
      </c>
      <c r="M59" s="10">
        <f t="shared" si="23"/>
        <v>0</v>
      </c>
      <c r="N59" s="10">
        <f t="shared" si="24"/>
        <v>0</v>
      </c>
      <c r="O59" s="27"/>
      <c r="P59" s="12">
        <f>+$O$59*C59</f>
        <v>0</v>
      </c>
      <c r="Q59" s="12">
        <f>+$O$59*D59</f>
        <v>0</v>
      </c>
      <c r="R59" s="12">
        <f>+$O$59*E59</f>
        <v>0</v>
      </c>
      <c r="S59" s="12">
        <f>+$O$59*F59</f>
        <v>0</v>
      </c>
      <c r="T59" s="12">
        <f>+$O$59*G59</f>
        <v>0</v>
      </c>
      <c r="U59" s="12">
        <f>+$O$59*H59</f>
        <v>0</v>
      </c>
      <c r="V59" s="12">
        <f>+$O$59*I59</f>
        <v>0</v>
      </c>
      <c r="W59" s="12">
        <f>+$O$59*J59</f>
        <v>0</v>
      </c>
      <c r="X59" s="12">
        <f>+$O$59*K59</f>
        <v>0</v>
      </c>
      <c r="Y59" s="12">
        <f>+$O$59*L59</f>
        <v>0</v>
      </c>
      <c r="Z59" s="12">
        <f>+$O$59*M59</f>
        <v>0</v>
      </c>
      <c r="AA59" s="12">
        <f>+$O$59*N59</f>
        <v>0</v>
      </c>
      <c r="AE59">
        <v>202</v>
      </c>
      <c r="AF59">
        <v>177</v>
      </c>
      <c r="AG59">
        <v>253</v>
      </c>
      <c r="AH59">
        <v>1439</v>
      </c>
      <c r="AI59">
        <v>1524</v>
      </c>
      <c r="AJ59">
        <v>1270</v>
      </c>
      <c r="AK59">
        <v>804</v>
      </c>
      <c r="AL59">
        <v>350</v>
      </c>
      <c r="AM59">
        <v>505</v>
      </c>
      <c r="AN59">
        <v>6524</v>
      </c>
      <c r="AO59" s="3">
        <v>70</v>
      </c>
      <c r="AP59" s="3">
        <v>70</v>
      </c>
      <c r="AQ59" s="3">
        <v>70</v>
      </c>
      <c r="AR59" s="3">
        <v>70</v>
      </c>
      <c r="AS59" s="3">
        <v>70</v>
      </c>
      <c r="AT59" s="3">
        <v>70</v>
      </c>
      <c r="AU59" s="3">
        <v>60</v>
      </c>
      <c r="AV59" s="3">
        <v>60</v>
      </c>
      <c r="AW59" s="3">
        <v>60</v>
      </c>
      <c r="AX59" s="3">
        <v>60</v>
      </c>
      <c r="AY59" s="3">
        <v>60</v>
      </c>
      <c r="AZ59" s="3">
        <v>60</v>
      </c>
      <c r="BB59" s="29">
        <f t="shared" si="1"/>
        <v>0</v>
      </c>
      <c r="BC59" s="29">
        <f t="shared" si="2"/>
        <v>0</v>
      </c>
      <c r="BD59" s="29">
        <f t="shared" si="3"/>
        <v>0</v>
      </c>
      <c r="BE59" s="29">
        <f t="shared" si="4"/>
        <v>141.4</v>
      </c>
      <c r="BF59" s="29">
        <f t="shared" si="5"/>
        <v>123.9</v>
      </c>
      <c r="BG59" s="29">
        <f t="shared" si="6"/>
        <v>177.1</v>
      </c>
      <c r="BH59" s="29">
        <f t="shared" si="7"/>
        <v>863.4</v>
      </c>
      <c r="BI59" s="29">
        <f t="shared" si="8"/>
        <v>914.4</v>
      </c>
      <c r="BJ59" s="29">
        <f t="shared" si="9"/>
        <v>762</v>
      </c>
      <c r="BK59" s="29">
        <f t="shared" si="12"/>
        <v>482.4</v>
      </c>
      <c r="BL59" s="29">
        <f t="shared" si="54"/>
        <v>210</v>
      </c>
      <c r="BM59" s="29">
        <f t="shared" si="55"/>
        <v>303</v>
      </c>
    </row>
    <row r="60" spans="1:65" ht="15">
      <c r="A60" s="19" t="s">
        <v>39</v>
      </c>
      <c r="C60" s="10">
        <f t="shared" si="13"/>
        <v>0</v>
      </c>
      <c r="D60" s="10">
        <f t="shared" si="14"/>
        <v>0</v>
      </c>
      <c r="E60" s="10">
        <f t="shared" si="15"/>
        <v>0</v>
      </c>
      <c r="F60" s="10">
        <f t="shared" si="16"/>
        <v>0</v>
      </c>
      <c r="G60" s="10">
        <f t="shared" si="17"/>
        <v>0</v>
      </c>
      <c r="H60" s="10">
        <f t="shared" si="18"/>
        <v>0</v>
      </c>
      <c r="I60" s="10">
        <f t="shared" si="19"/>
        <v>0</v>
      </c>
      <c r="J60" s="10">
        <f t="shared" si="53"/>
        <v>0</v>
      </c>
      <c r="K60" s="10">
        <f t="shared" si="21"/>
        <v>0</v>
      </c>
      <c r="L60" s="10">
        <f t="shared" si="22"/>
        <v>0</v>
      </c>
      <c r="M60" s="10">
        <f t="shared" si="23"/>
        <v>0</v>
      </c>
      <c r="N60" s="10">
        <f t="shared" si="24"/>
        <v>0</v>
      </c>
      <c r="O60" s="27"/>
      <c r="P60" s="12">
        <f>+$O$60*C60</f>
        <v>0</v>
      </c>
      <c r="Q60" s="12">
        <f>+$O$60*D60</f>
        <v>0</v>
      </c>
      <c r="R60" s="12">
        <f>+$O$60*E60</f>
        <v>0</v>
      </c>
      <c r="S60" s="12">
        <f>+$O$60*F60</f>
        <v>0</v>
      </c>
      <c r="T60" s="12">
        <f>+$O$60*G60</f>
        <v>0</v>
      </c>
      <c r="U60" s="12">
        <f>+$O$60*H60</f>
        <v>0</v>
      </c>
      <c r="V60" s="12">
        <f>+$O$60*I60</f>
        <v>0</v>
      </c>
      <c r="W60" s="12">
        <f>+$O$60*J60</f>
        <v>0</v>
      </c>
      <c r="X60" s="12">
        <f>+$O$60*K60</f>
        <v>0</v>
      </c>
      <c r="Y60" s="12">
        <f>+$O$60*L60</f>
        <v>0</v>
      </c>
      <c r="Z60" s="12">
        <f>+$O$60*M60</f>
        <v>0</v>
      </c>
      <c r="AA60" s="12">
        <f>+$O$60*N60</f>
        <v>0</v>
      </c>
      <c r="AB60">
        <v>542</v>
      </c>
      <c r="AC60" s="15">
        <v>636</v>
      </c>
      <c r="AD60" s="15">
        <v>692</v>
      </c>
      <c r="AE60" s="28">
        <v>253.42887798896382</v>
      </c>
      <c r="AF60" s="28">
        <v>222.06391784181486</v>
      </c>
      <c r="AG60" s="28">
        <v>317.41339668914776</v>
      </c>
      <c r="AH60" s="28">
        <v>1805.367106069896</v>
      </c>
      <c r="AI60" s="28">
        <v>1912.0079705702021</v>
      </c>
      <c r="AJ60" s="28">
        <v>1593.3399754751686</v>
      </c>
      <c r="AK60" s="28">
        <v>1008.6971183323114</v>
      </c>
      <c r="AL60" s="28">
        <v>439.1094420600858</v>
      </c>
      <c r="AM60" s="28">
        <v>633.5721949724095</v>
      </c>
      <c r="AN60">
        <f>SUM(AB60:AM60)</f>
        <v>10055</v>
      </c>
      <c r="AO60" s="3">
        <v>70</v>
      </c>
      <c r="AP60" s="3">
        <v>70</v>
      </c>
      <c r="AQ60" s="3">
        <v>70</v>
      </c>
      <c r="AR60" s="3">
        <v>70</v>
      </c>
      <c r="AS60" s="3">
        <v>70</v>
      </c>
      <c r="AT60" s="3">
        <v>70</v>
      </c>
      <c r="AU60" s="3">
        <v>60</v>
      </c>
      <c r="AV60" s="3">
        <v>60</v>
      </c>
      <c r="AW60" s="3">
        <v>60</v>
      </c>
      <c r="AX60" s="3">
        <v>60</v>
      </c>
      <c r="AY60" s="3">
        <v>60</v>
      </c>
      <c r="AZ60" s="3">
        <v>60</v>
      </c>
      <c r="BB60" s="29">
        <f t="shared" si="1"/>
        <v>379.4</v>
      </c>
      <c r="BC60" s="29">
        <f t="shared" si="2"/>
        <v>445.2</v>
      </c>
      <c r="BD60" s="29">
        <f t="shared" si="3"/>
        <v>484.4</v>
      </c>
      <c r="BE60" s="29">
        <f t="shared" si="4"/>
        <v>177.40021459227466</v>
      </c>
      <c r="BF60" s="29">
        <f t="shared" si="5"/>
        <v>155.4447424892704</v>
      </c>
      <c r="BG60" s="29">
        <f t="shared" si="6"/>
        <v>222.18937768240343</v>
      </c>
      <c r="BH60" s="29">
        <f t="shared" si="7"/>
        <v>1083.2202636419377</v>
      </c>
      <c r="BI60" s="29">
        <f t="shared" si="8"/>
        <v>1147.2047823421212</v>
      </c>
      <c r="BJ60" s="29">
        <f t="shared" si="9"/>
        <v>956.0039852851011</v>
      </c>
      <c r="BK60" s="29">
        <f t="shared" si="12"/>
        <v>605.2182709993868</v>
      </c>
      <c r="BL60" s="29">
        <f t="shared" si="54"/>
        <v>263.4656652360515</v>
      </c>
      <c r="BM60" s="29">
        <f t="shared" si="55"/>
        <v>380.1433169834457</v>
      </c>
    </row>
    <row r="61" spans="1:65" ht="15">
      <c r="A61" s="19" t="s">
        <v>48</v>
      </c>
      <c r="C61" s="10">
        <f t="shared" si="13"/>
        <v>0</v>
      </c>
      <c r="D61" s="10">
        <f t="shared" si="14"/>
        <v>0</v>
      </c>
      <c r="E61" s="10">
        <f t="shared" si="15"/>
        <v>0</v>
      </c>
      <c r="F61" s="10">
        <f t="shared" si="16"/>
        <v>0</v>
      </c>
      <c r="G61" s="10">
        <f t="shared" si="17"/>
        <v>0</v>
      </c>
      <c r="H61" s="10">
        <f t="shared" si="18"/>
        <v>0</v>
      </c>
      <c r="I61" s="10">
        <f t="shared" si="19"/>
        <v>0</v>
      </c>
      <c r="J61" s="10">
        <f t="shared" si="53"/>
        <v>0</v>
      </c>
      <c r="K61" s="10">
        <f t="shared" si="21"/>
        <v>0</v>
      </c>
      <c r="L61" s="10">
        <f t="shared" si="22"/>
        <v>0</v>
      </c>
      <c r="M61" s="10">
        <f t="shared" si="23"/>
        <v>0</v>
      </c>
      <c r="N61" s="10">
        <f t="shared" si="24"/>
        <v>0</v>
      </c>
      <c r="O61" s="27"/>
      <c r="P61" s="12">
        <f>+$O$61*C61</f>
        <v>0</v>
      </c>
      <c r="Q61" s="12">
        <f>+$O$61*D61</f>
        <v>0</v>
      </c>
      <c r="R61" s="12">
        <f>+$O$61*E61</f>
        <v>0</v>
      </c>
      <c r="S61" s="12">
        <f>+$O$61*F61</f>
        <v>0</v>
      </c>
      <c r="T61" s="12">
        <f>+$O$61*G61</f>
        <v>0</v>
      </c>
      <c r="U61" s="12">
        <f>+$O$61*H61</f>
        <v>0</v>
      </c>
      <c r="V61" s="12">
        <f>+$O$61*I61</f>
        <v>0</v>
      </c>
      <c r="W61" s="12">
        <f>+$O$61*J61</f>
        <v>0</v>
      </c>
      <c r="X61" s="12">
        <f>+$O$61*K61</f>
        <v>0</v>
      </c>
      <c r="Y61" s="12">
        <f>+$O$61*L61</f>
        <v>0</v>
      </c>
      <c r="Z61" s="12">
        <f>+$O$61*M61</f>
        <v>0</v>
      </c>
      <c r="AA61" s="12">
        <f>+$O$61*N61</f>
        <v>0</v>
      </c>
      <c r="AB61" s="28">
        <f>+AB60/$AN$60*$AN$61</f>
        <v>404.27647936350075</v>
      </c>
      <c r="AC61" s="28">
        <f>+AC60/$AN$60*$AN$61</f>
        <v>474.39085032322225</v>
      </c>
      <c r="AD61" s="28">
        <f>+AD60/$AN$60*$AN$61</f>
        <v>516.1611138736947</v>
      </c>
      <c r="AE61" s="28">
        <f>+AE60/$AN$60*$AN$61</f>
        <v>189.03198258749165</v>
      </c>
      <c r="AF61" s="28">
        <f>+AF60/$AN$60*$AN$61</f>
        <v>165.6369352375546</v>
      </c>
      <c r="AG61" s="28">
        <f>+AG60/$AN$60*$AN$61</f>
        <v>236.75787918136334</v>
      </c>
      <c r="AH61" s="28">
        <f>+AH60/$AN$60*$AN$61</f>
        <v>1346.618925462379</v>
      </c>
      <c r="AI61" s="28">
        <f>+AI60/$AN$60*$AN$61</f>
        <v>1426.1620864521649</v>
      </c>
      <c r="AJ61" s="28">
        <f>+AJ60/$AN$60*$AN$61</f>
        <v>1188.468405376804</v>
      </c>
      <c r="AK61" s="28">
        <f>+AK60/$AN$60*$AN$61</f>
        <v>752.3847227739767</v>
      </c>
      <c r="AL61" s="28">
        <f>+AL60/$AN$60*$AN$61</f>
        <v>327.5306628991192</v>
      </c>
      <c r="AM61" s="28">
        <f>+AM60/$AN$60*$AN$61</f>
        <v>472.57995646872916</v>
      </c>
      <c r="AN61">
        <v>7500</v>
      </c>
      <c r="AO61" s="3">
        <v>70</v>
      </c>
      <c r="AP61" s="3">
        <v>70</v>
      </c>
      <c r="AQ61" s="3">
        <v>70</v>
      </c>
      <c r="AR61" s="3">
        <v>70</v>
      </c>
      <c r="AS61" s="3">
        <v>70</v>
      </c>
      <c r="AT61" s="3">
        <v>70</v>
      </c>
      <c r="AU61" s="3">
        <v>60</v>
      </c>
      <c r="AV61" s="3">
        <v>60</v>
      </c>
      <c r="AW61" s="3">
        <v>60</v>
      </c>
      <c r="AX61" s="3">
        <v>60</v>
      </c>
      <c r="AY61" s="3">
        <v>60</v>
      </c>
      <c r="AZ61" s="3">
        <v>60</v>
      </c>
      <c r="BB61" s="29">
        <f t="shared" si="1"/>
        <v>282.99353555445055</v>
      </c>
      <c r="BC61" s="29">
        <f t="shared" si="2"/>
        <v>332.0735952262556</v>
      </c>
      <c r="BD61" s="29">
        <f t="shared" si="3"/>
        <v>361.31277971158636</v>
      </c>
      <c r="BE61" s="29">
        <f t="shared" si="4"/>
        <v>132.32238781124414</v>
      </c>
      <c r="BF61" s="29">
        <f t="shared" si="5"/>
        <v>115.94585466628823</v>
      </c>
      <c r="BG61" s="29">
        <f t="shared" si="6"/>
        <v>165.73051542695433</v>
      </c>
      <c r="BH61" s="29">
        <f t="shared" si="7"/>
        <v>807.9713552774274</v>
      </c>
      <c r="BI61" s="29">
        <f t="shared" si="8"/>
        <v>855.6972518712989</v>
      </c>
      <c r="BJ61" s="29">
        <f t="shared" si="9"/>
        <v>713.0810432260824</v>
      </c>
      <c r="BK61" s="29">
        <f t="shared" si="12"/>
        <v>451.430833664386</v>
      </c>
      <c r="BL61" s="29">
        <f t="shared" si="54"/>
        <v>196.5183977394715</v>
      </c>
      <c r="BM61" s="29">
        <f t="shared" si="55"/>
        <v>283.5479738812375</v>
      </c>
    </row>
    <row r="62" spans="1:65" ht="15">
      <c r="A62" s="19" t="s">
        <v>41</v>
      </c>
      <c r="C62" s="10">
        <f t="shared" si="13"/>
        <v>0</v>
      </c>
      <c r="D62" s="10">
        <f t="shared" si="14"/>
        <v>0</v>
      </c>
      <c r="E62" s="10">
        <f t="shared" si="15"/>
        <v>0</v>
      </c>
      <c r="F62" s="10">
        <f t="shared" si="16"/>
        <v>0</v>
      </c>
      <c r="G62" s="10">
        <f t="shared" si="17"/>
        <v>0</v>
      </c>
      <c r="H62" s="10">
        <f t="shared" si="18"/>
        <v>0</v>
      </c>
      <c r="I62" s="10">
        <f t="shared" si="19"/>
        <v>0</v>
      </c>
      <c r="J62" s="10">
        <f t="shared" si="53"/>
        <v>0</v>
      </c>
      <c r="K62" s="10">
        <f t="shared" si="21"/>
        <v>0</v>
      </c>
      <c r="L62" s="10">
        <f t="shared" si="22"/>
        <v>0</v>
      </c>
      <c r="M62" s="10">
        <f t="shared" si="23"/>
        <v>0</v>
      </c>
      <c r="N62" s="10">
        <f t="shared" si="24"/>
        <v>0</v>
      </c>
      <c r="O62" s="27"/>
      <c r="P62" s="12">
        <f>+$O$62*C62</f>
        <v>0</v>
      </c>
      <c r="Q62" s="12">
        <f>+$O$62*D62</f>
        <v>0</v>
      </c>
      <c r="R62" s="12">
        <f>+$O$62*E62</f>
        <v>0</v>
      </c>
      <c r="S62" s="12">
        <f>+$O$62*F62</f>
        <v>0</v>
      </c>
      <c r="T62" s="12">
        <f>+$O$62*G62</f>
        <v>0</v>
      </c>
      <c r="U62" s="12">
        <f>+$O$62*H62</f>
        <v>0</v>
      </c>
      <c r="V62" s="12">
        <f>+$O$62*I62</f>
        <v>0</v>
      </c>
      <c r="W62" s="12">
        <f>+$O$62*J62</f>
        <v>0</v>
      </c>
      <c r="X62" s="12">
        <f>+$O$62*K62</f>
        <v>0</v>
      </c>
      <c r="Y62" s="12">
        <f>+$O$62*L62</f>
        <v>0</v>
      </c>
      <c r="Z62" s="12">
        <f>+$O$62*M62</f>
        <v>0</v>
      </c>
      <c r="AA62" s="12">
        <f>+$O$62*N62</f>
        <v>0</v>
      </c>
      <c r="AB62" s="28">
        <f>+AB61/$AN$61*$AN$62</f>
        <v>350.37294878170064</v>
      </c>
      <c r="AC62" s="28">
        <f>+AC61/$AN$61*$AN$62</f>
        <v>411.1387369467926</v>
      </c>
      <c r="AD62" s="28">
        <f>+AD61/$AN$61*$AN$62</f>
        <v>447.3396320238688</v>
      </c>
      <c r="AE62" s="28">
        <f>+AE61/$AN$61*$AN$62</f>
        <v>163.82771824249278</v>
      </c>
      <c r="AF62" s="28">
        <f>+AF61/$AN$61*$AN$62</f>
        <v>143.552010539214</v>
      </c>
      <c r="AG62" s="28">
        <f>+AG61/$AN$61*$AN$62</f>
        <v>205.19016195718157</v>
      </c>
      <c r="AH62" s="28">
        <f>+AH61/$AN$61*$AN$62</f>
        <v>1167.0697354007284</v>
      </c>
      <c r="AI62" s="28">
        <f>+AI61/$AN$61*$AN$62</f>
        <v>1236.0071415918762</v>
      </c>
      <c r="AJ62" s="28">
        <f>+AJ61/$AN$61*$AN$62</f>
        <v>1030.0059513265635</v>
      </c>
      <c r="AK62" s="28">
        <f>+AK61/$AN$61*$AN$62</f>
        <v>652.0667597374465</v>
      </c>
      <c r="AL62" s="28">
        <f>+AL61/$AN$61*$AN$62</f>
        <v>283.8599078459033</v>
      </c>
      <c r="AM62" s="28">
        <f>+AM61/$AN$61*$AN$62</f>
        <v>409.56929560623195</v>
      </c>
      <c r="AN62">
        <v>6500</v>
      </c>
      <c r="AO62" s="3">
        <v>70</v>
      </c>
      <c r="AP62" s="3">
        <v>70</v>
      </c>
      <c r="AQ62" s="3">
        <v>70</v>
      </c>
      <c r="AR62" s="3">
        <v>70</v>
      </c>
      <c r="AS62" s="3">
        <v>70</v>
      </c>
      <c r="AT62" s="3">
        <v>70</v>
      </c>
      <c r="AU62" s="3">
        <v>60</v>
      </c>
      <c r="AV62" s="3">
        <v>60</v>
      </c>
      <c r="AW62" s="3">
        <v>60</v>
      </c>
      <c r="AX62" s="3">
        <v>60</v>
      </c>
      <c r="AY62" s="3">
        <v>60</v>
      </c>
      <c r="AZ62" s="3">
        <v>60</v>
      </c>
      <c r="BB62" s="29">
        <f t="shared" si="1"/>
        <v>245.26106414719044</v>
      </c>
      <c r="BC62" s="29">
        <f t="shared" si="2"/>
        <v>287.7971158627548</v>
      </c>
      <c r="BD62" s="29">
        <f t="shared" si="3"/>
        <v>313.13774241670814</v>
      </c>
      <c r="BE62" s="29">
        <f t="shared" si="4"/>
        <v>114.67940276974494</v>
      </c>
      <c r="BF62" s="29">
        <f t="shared" si="5"/>
        <v>100.4864073774498</v>
      </c>
      <c r="BG62" s="29">
        <f t="shared" si="6"/>
        <v>143.6331133700271</v>
      </c>
      <c r="BH62" s="29">
        <f t="shared" si="7"/>
        <v>700.2418412404371</v>
      </c>
      <c r="BI62" s="29">
        <f t="shared" si="8"/>
        <v>741.6042849551258</v>
      </c>
      <c r="BJ62" s="29">
        <f t="shared" si="9"/>
        <v>618.0035707959381</v>
      </c>
      <c r="BK62" s="29">
        <f t="shared" si="12"/>
        <v>391.24005584246794</v>
      </c>
      <c r="BL62" s="29">
        <f t="shared" si="54"/>
        <v>170.315944707542</v>
      </c>
      <c r="BM62" s="29">
        <f t="shared" si="55"/>
        <v>245.74157736373917</v>
      </c>
    </row>
    <row r="63" spans="1:66" ht="15.75">
      <c r="A63" s="19" t="s">
        <v>60</v>
      </c>
      <c r="C63" s="10">
        <f t="shared" si="13"/>
        <v>0</v>
      </c>
      <c r="D63" s="10">
        <f t="shared" si="14"/>
        <v>0</v>
      </c>
      <c r="E63" s="10">
        <f t="shared" si="15"/>
        <v>0</v>
      </c>
      <c r="F63" s="10">
        <f t="shared" si="16"/>
        <v>0</v>
      </c>
      <c r="G63" s="10">
        <f>+$B63*BF63*0.4</f>
        <v>0</v>
      </c>
      <c r="H63" s="10">
        <f>+$B63*BG63*0.4</f>
        <v>0</v>
      </c>
      <c r="I63" s="10">
        <f t="shared" si="19"/>
        <v>0</v>
      </c>
      <c r="J63" s="10">
        <f t="shared" si="53"/>
        <v>0</v>
      </c>
      <c r="K63" s="10">
        <f t="shared" si="21"/>
        <v>0</v>
      </c>
      <c r="L63" s="10">
        <f t="shared" si="22"/>
        <v>0</v>
      </c>
      <c r="M63" s="10">
        <f t="shared" si="23"/>
        <v>0</v>
      </c>
      <c r="N63" s="10">
        <f t="shared" si="24"/>
        <v>0</v>
      </c>
      <c r="O63" s="27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3"/>
      <c r="AC63" s="13"/>
      <c r="AD63" s="13"/>
      <c r="AE63" s="13"/>
      <c r="AF63" s="13">
        <f>8500*0.28*0.29</f>
        <v>690.1999999999999</v>
      </c>
      <c r="AG63" s="13">
        <f>8500*0.28*0.43</f>
        <v>1023.4</v>
      </c>
      <c r="AH63" s="13">
        <f>8500*0.45*0.34</f>
        <v>1300.5</v>
      </c>
      <c r="AI63" s="13">
        <f>8500*0.45*0.36</f>
        <v>1377</v>
      </c>
      <c r="AJ63" s="13">
        <f>8500*0.45*0.3</f>
        <v>1147.5</v>
      </c>
      <c r="AK63" s="13">
        <f>8500*0.27*0.45</f>
        <v>1032.75</v>
      </c>
      <c r="AL63" s="13">
        <f>8500*0.27*0.31</f>
        <v>711.45</v>
      </c>
      <c r="AM63" s="13">
        <f>8500*0.27*0.24</f>
        <v>550.8</v>
      </c>
      <c r="AN63" s="14">
        <f aca="true" t="shared" si="69" ref="AN63:AN65">SUM(AB63:AM63)</f>
        <v>7833.599999999999</v>
      </c>
      <c r="AO63" s="3">
        <v>70</v>
      </c>
      <c r="AP63" s="3">
        <v>70</v>
      </c>
      <c r="AQ63" s="3">
        <v>70</v>
      </c>
      <c r="AR63" s="3">
        <v>70</v>
      </c>
      <c r="AS63" s="3">
        <v>70</v>
      </c>
      <c r="AT63" s="3">
        <v>70</v>
      </c>
      <c r="AU63" s="3">
        <v>60</v>
      </c>
      <c r="AV63" s="3">
        <v>60</v>
      </c>
      <c r="AW63" s="3">
        <v>60</v>
      </c>
      <c r="AX63" s="3">
        <v>60</v>
      </c>
      <c r="AY63" s="3">
        <v>60</v>
      </c>
      <c r="AZ63" s="3">
        <v>60</v>
      </c>
      <c r="BA63" s="3"/>
      <c r="BB63" s="13">
        <f t="shared" si="1"/>
        <v>0</v>
      </c>
      <c r="BC63" s="13">
        <f t="shared" si="2"/>
        <v>0</v>
      </c>
      <c r="BD63" s="13">
        <f t="shared" si="3"/>
        <v>0</v>
      </c>
      <c r="BE63" s="13">
        <f t="shared" si="4"/>
        <v>0</v>
      </c>
      <c r="BF63" s="13">
        <f t="shared" si="5"/>
        <v>483.13999999999993</v>
      </c>
      <c r="BG63" s="13">
        <f t="shared" si="6"/>
        <v>716.38</v>
      </c>
      <c r="BH63" s="13">
        <f t="shared" si="7"/>
        <v>780.3</v>
      </c>
      <c r="BI63" s="13">
        <f t="shared" si="8"/>
        <v>826.2</v>
      </c>
      <c r="BJ63" s="13">
        <f t="shared" si="9"/>
        <v>688.5</v>
      </c>
      <c r="BK63" s="13">
        <f t="shared" si="12"/>
        <v>619.65</v>
      </c>
      <c r="BL63" s="13">
        <f t="shared" si="54"/>
        <v>426.87</v>
      </c>
      <c r="BM63" s="13">
        <f t="shared" si="55"/>
        <v>330.48</v>
      </c>
      <c r="BN63" s="21">
        <f aca="true" t="shared" si="70" ref="BN63:BN65">SUM(BB63:BM63)</f>
        <v>4871.52</v>
      </c>
    </row>
    <row r="64" spans="1:66" ht="15.75">
      <c r="A64" s="19" t="s">
        <v>39</v>
      </c>
      <c r="C64" s="10">
        <f t="shared" si="13"/>
        <v>0</v>
      </c>
      <c r="D64" s="10">
        <f t="shared" si="14"/>
        <v>0</v>
      </c>
      <c r="E64" s="10">
        <f t="shared" si="15"/>
        <v>0</v>
      </c>
      <c r="F64" s="10">
        <f t="shared" si="16"/>
        <v>0</v>
      </c>
      <c r="G64" s="10">
        <f aca="true" t="shared" si="71" ref="G64:G65">+$B64*BF64</f>
        <v>0</v>
      </c>
      <c r="H64" s="10">
        <f aca="true" t="shared" si="72" ref="H64:H65">+$B64*BG64</f>
        <v>0</v>
      </c>
      <c r="I64" s="10">
        <f t="shared" si="19"/>
        <v>0</v>
      </c>
      <c r="J64" s="10">
        <f t="shared" si="53"/>
        <v>0</v>
      </c>
      <c r="K64" s="10">
        <f t="shared" si="21"/>
        <v>0</v>
      </c>
      <c r="L64" s="10">
        <f t="shared" si="22"/>
        <v>0</v>
      </c>
      <c r="M64" s="10">
        <f t="shared" si="23"/>
        <v>0</v>
      </c>
      <c r="N64" s="10">
        <f t="shared" si="24"/>
        <v>0</v>
      </c>
      <c r="O64" s="27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3">
        <f>9000*0.28*0.29</f>
        <v>730.8000000000001</v>
      </c>
      <c r="AC64" s="13">
        <f>9000*0.28*0.34</f>
        <v>856.8000000000002</v>
      </c>
      <c r="AD64" s="13">
        <f>9000*0.28*0.37</f>
        <v>932.4000000000002</v>
      </c>
      <c r="AE64" s="13">
        <f>9000*0.15*0.32</f>
        <v>432</v>
      </c>
      <c r="AF64" s="13">
        <f>9000*0.15*0.28</f>
        <v>378.00000000000006</v>
      </c>
      <c r="AG64" s="13">
        <f>9000*0.15*0.4</f>
        <v>540</v>
      </c>
      <c r="AH64" s="13">
        <f>9000*0.4*0.34</f>
        <v>1224</v>
      </c>
      <c r="AI64" s="13">
        <f>9000*0.4*0.36</f>
        <v>1296</v>
      </c>
      <c r="AJ64" s="13">
        <f>9000*0.4*0.3</f>
        <v>1080</v>
      </c>
      <c r="AK64" s="13">
        <f>9000*0.18*0.45</f>
        <v>729</v>
      </c>
      <c r="AL64" s="13">
        <f>9000*0.18*0.31</f>
        <v>502.2</v>
      </c>
      <c r="AM64" s="13">
        <f>9000*0.18*0.24</f>
        <v>388.8</v>
      </c>
      <c r="AN64" s="14">
        <f t="shared" si="69"/>
        <v>9090</v>
      </c>
      <c r="AO64" s="3">
        <v>70</v>
      </c>
      <c r="AP64" s="3">
        <v>70</v>
      </c>
      <c r="AQ64" s="3">
        <v>70</v>
      </c>
      <c r="AR64" s="3">
        <v>70</v>
      </c>
      <c r="AS64" s="3">
        <v>70</v>
      </c>
      <c r="AT64" s="3">
        <v>70</v>
      </c>
      <c r="AU64" s="3">
        <v>60</v>
      </c>
      <c r="AV64" s="3">
        <v>60</v>
      </c>
      <c r="AW64" s="3">
        <v>60</v>
      </c>
      <c r="AX64" s="3">
        <v>60</v>
      </c>
      <c r="AY64" s="3">
        <v>60</v>
      </c>
      <c r="AZ64" s="3">
        <v>60</v>
      </c>
      <c r="BA64" s="3"/>
      <c r="BB64" s="13">
        <f t="shared" si="1"/>
        <v>511.56000000000006</v>
      </c>
      <c r="BC64" s="13">
        <f t="shared" si="2"/>
        <v>599.7600000000001</v>
      </c>
      <c r="BD64" s="13">
        <f t="shared" si="3"/>
        <v>652.6800000000002</v>
      </c>
      <c r="BE64" s="13">
        <f t="shared" si="4"/>
        <v>302.4</v>
      </c>
      <c r="BF64" s="13">
        <f t="shared" si="5"/>
        <v>264.6</v>
      </c>
      <c r="BG64" s="13">
        <f t="shared" si="6"/>
        <v>378</v>
      </c>
      <c r="BH64" s="13">
        <f t="shared" si="7"/>
        <v>734.4</v>
      </c>
      <c r="BI64" s="13">
        <f t="shared" si="8"/>
        <v>777.6</v>
      </c>
      <c r="BJ64" s="13">
        <f t="shared" si="9"/>
        <v>648</v>
      </c>
      <c r="BK64" s="13">
        <f t="shared" si="12"/>
        <v>437.4</v>
      </c>
      <c r="BL64" s="13">
        <f t="shared" si="54"/>
        <v>301.32</v>
      </c>
      <c r="BM64" s="13">
        <f t="shared" si="55"/>
        <v>233.28</v>
      </c>
      <c r="BN64" s="21">
        <f t="shared" si="70"/>
        <v>5841</v>
      </c>
    </row>
    <row r="65" spans="1:66" ht="15.75">
      <c r="A65" s="19" t="s">
        <v>48</v>
      </c>
      <c r="C65" s="10">
        <f t="shared" si="13"/>
        <v>0</v>
      </c>
      <c r="D65" s="10">
        <f t="shared" si="14"/>
        <v>0</v>
      </c>
      <c r="E65" s="10">
        <f t="shared" si="15"/>
        <v>0</v>
      </c>
      <c r="F65" s="10">
        <f t="shared" si="16"/>
        <v>0</v>
      </c>
      <c r="G65" s="10">
        <f t="shared" si="71"/>
        <v>0</v>
      </c>
      <c r="H65" s="10">
        <f t="shared" si="72"/>
        <v>0</v>
      </c>
      <c r="I65" s="10">
        <f t="shared" si="19"/>
        <v>0</v>
      </c>
      <c r="J65" s="10">
        <f t="shared" si="53"/>
        <v>0</v>
      </c>
      <c r="K65" s="10">
        <f t="shared" si="21"/>
        <v>0</v>
      </c>
      <c r="L65" s="10">
        <f t="shared" si="22"/>
        <v>0</v>
      </c>
      <c r="M65" s="10">
        <f t="shared" si="23"/>
        <v>0</v>
      </c>
      <c r="N65" s="10">
        <f t="shared" si="24"/>
        <v>0</v>
      </c>
      <c r="O65" s="27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3">
        <f>5500*0.24*0.29</f>
        <v>382.79999999999995</v>
      </c>
      <c r="AC65" s="13">
        <f>5500*0.24*0.34</f>
        <v>448.8</v>
      </c>
      <c r="AD65" s="13">
        <f>5500*0.24*0.37</f>
        <v>488.4</v>
      </c>
      <c r="AE65" s="13">
        <f>5500*0.15*0.32</f>
        <v>264</v>
      </c>
      <c r="AF65" s="13">
        <f>5500*0.15*0.28</f>
        <v>231.00000000000003</v>
      </c>
      <c r="AG65" s="13">
        <f>5500*0.15*0.4</f>
        <v>330</v>
      </c>
      <c r="AH65" s="13">
        <f>5500*0.47*0.34</f>
        <v>878.9000000000001</v>
      </c>
      <c r="AI65" s="13">
        <f>5500*0.47*0.36</f>
        <v>930.5999999999999</v>
      </c>
      <c r="AJ65" s="13">
        <f>5500*0.47*0.3</f>
        <v>775.5</v>
      </c>
      <c r="AK65" s="13">
        <f>5500*0.14*0.45</f>
        <v>346.50000000000006</v>
      </c>
      <c r="AL65" s="13">
        <f>5500*0.14*0.31</f>
        <v>238.70000000000005</v>
      </c>
      <c r="AM65" s="13">
        <f>5500*0.14*0.24</f>
        <v>184.8</v>
      </c>
      <c r="AN65" s="14">
        <f t="shared" si="69"/>
        <v>5500.000000000001</v>
      </c>
      <c r="AO65" s="3">
        <v>70</v>
      </c>
      <c r="AP65" s="3">
        <v>70</v>
      </c>
      <c r="AQ65" s="3">
        <v>70</v>
      </c>
      <c r="AR65" s="3">
        <v>70</v>
      </c>
      <c r="AS65" s="3">
        <v>70</v>
      </c>
      <c r="AT65" s="3">
        <v>70</v>
      </c>
      <c r="AU65" s="3">
        <v>60</v>
      </c>
      <c r="AV65" s="3">
        <v>60</v>
      </c>
      <c r="AW65" s="3">
        <v>60</v>
      </c>
      <c r="AX65" s="3">
        <v>60</v>
      </c>
      <c r="AY65" s="3">
        <v>60</v>
      </c>
      <c r="AZ65" s="3">
        <v>60</v>
      </c>
      <c r="BA65" s="3"/>
      <c r="BB65" s="13">
        <f t="shared" si="1"/>
        <v>267.96</v>
      </c>
      <c r="BC65" s="13">
        <f t="shared" si="2"/>
        <v>314.16</v>
      </c>
      <c r="BD65" s="13">
        <f t="shared" si="3"/>
        <v>341.88</v>
      </c>
      <c r="BE65" s="13">
        <f t="shared" si="4"/>
        <v>184.8</v>
      </c>
      <c r="BF65" s="13">
        <f t="shared" si="5"/>
        <v>161.70000000000002</v>
      </c>
      <c r="BG65" s="13">
        <f t="shared" si="6"/>
        <v>231</v>
      </c>
      <c r="BH65" s="13">
        <f t="shared" si="7"/>
        <v>527.34</v>
      </c>
      <c r="BI65" s="13">
        <f t="shared" si="8"/>
        <v>558.3599999999999</v>
      </c>
      <c r="BJ65" s="13">
        <f t="shared" si="9"/>
        <v>465.3</v>
      </c>
      <c r="BK65" s="13">
        <f t="shared" si="12"/>
        <v>207.90000000000003</v>
      </c>
      <c r="BL65" s="13">
        <f t="shared" si="54"/>
        <v>143.22000000000003</v>
      </c>
      <c r="BM65" s="13">
        <f t="shared" si="55"/>
        <v>110.88</v>
      </c>
      <c r="BN65" s="21">
        <f t="shared" si="70"/>
        <v>3514.5</v>
      </c>
    </row>
    <row r="66" spans="3:66" ht="15.7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7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4"/>
      <c r="AO66" s="3">
        <v>70</v>
      </c>
      <c r="AP66" s="3">
        <v>70</v>
      </c>
      <c r="AQ66" s="3">
        <v>70</v>
      </c>
      <c r="AR66" s="3">
        <v>70</v>
      </c>
      <c r="AS66" s="3">
        <v>70</v>
      </c>
      <c r="AT66" s="3">
        <v>70</v>
      </c>
      <c r="AU66" s="3">
        <v>60</v>
      </c>
      <c r="AV66" s="3">
        <v>60</v>
      </c>
      <c r="AW66" s="3">
        <v>60</v>
      </c>
      <c r="AX66" s="3">
        <v>70</v>
      </c>
      <c r="AY66" s="3">
        <v>70</v>
      </c>
      <c r="AZ66" s="3">
        <v>70</v>
      </c>
      <c r="BA66" s="3"/>
      <c r="BB66" s="13">
        <f t="shared" si="1"/>
        <v>0</v>
      </c>
      <c r="BC66" s="13">
        <f t="shared" si="2"/>
        <v>0</v>
      </c>
      <c r="BD66" s="13">
        <f t="shared" si="3"/>
        <v>0</v>
      </c>
      <c r="BE66" s="13">
        <f t="shared" si="4"/>
        <v>0</v>
      </c>
      <c r="BF66" s="13">
        <f t="shared" si="5"/>
        <v>0</v>
      </c>
      <c r="BG66" s="13">
        <f t="shared" si="6"/>
        <v>0</v>
      </c>
      <c r="BH66" s="13">
        <f t="shared" si="7"/>
        <v>0</v>
      </c>
      <c r="BI66" s="13">
        <f t="shared" si="8"/>
        <v>0</v>
      </c>
      <c r="BJ66" s="13">
        <f t="shared" si="9"/>
        <v>0</v>
      </c>
      <c r="BK66" s="13">
        <f t="shared" si="12"/>
        <v>0</v>
      </c>
      <c r="BL66" s="13">
        <f t="shared" si="54"/>
        <v>0</v>
      </c>
      <c r="BM66" s="13">
        <f t="shared" si="55"/>
        <v>0</v>
      </c>
      <c r="BN66" s="21"/>
    </row>
    <row r="67" spans="1:36" ht="15.75">
      <c r="A67" s="31" t="s">
        <v>61</v>
      </c>
      <c r="B67" s="31">
        <f>SUM(B3:B66)</f>
        <v>0</v>
      </c>
      <c r="C67" s="32">
        <f>SUM(C3:C66)</f>
        <v>0</v>
      </c>
      <c r="D67" s="32">
        <f>SUM(D3:D66)</f>
        <v>0</v>
      </c>
      <c r="E67" s="32">
        <f>SUM(E3:E66)</f>
        <v>0</v>
      </c>
      <c r="F67" s="32">
        <f>SUM(F3:F66)</f>
        <v>0</v>
      </c>
      <c r="G67" s="32">
        <f>SUM(G3:G66)</f>
        <v>0</v>
      </c>
      <c r="H67" s="32">
        <f>SUM(H3:H66)</f>
        <v>0</v>
      </c>
      <c r="I67" s="32">
        <f>SUM(I3:I66)</f>
        <v>0</v>
      </c>
      <c r="J67" s="32">
        <f>SUM(J3:J66)</f>
        <v>0</v>
      </c>
      <c r="K67" s="32">
        <f>SUM(K3:K66)</f>
        <v>0</v>
      </c>
      <c r="L67" s="32">
        <f>SUM(L3:L66)</f>
        <v>0</v>
      </c>
      <c r="M67" s="32">
        <f>SUM(M3:M66)</f>
        <v>0</v>
      </c>
      <c r="N67" s="32">
        <f>SUM(N3:N53)</f>
        <v>0</v>
      </c>
      <c r="O67" s="32">
        <f>SUMPRODUCT(O3:O44,BN3:BN44)</f>
        <v>0</v>
      </c>
      <c r="P67" s="32">
        <f>SUM(P3:P53)</f>
        <v>0</v>
      </c>
      <c r="Q67" s="32">
        <f>SUM(Q3:Q53)</f>
        <v>0</v>
      </c>
      <c r="R67" s="32">
        <f>SUM(R3:R53)</f>
        <v>0</v>
      </c>
      <c r="S67" s="32">
        <f>SUM(S3:S53)</f>
        <v>0</v>
      </c>
      <c r="T67" s="32">
        <f>SUM(T3:T53)</f>
        <v>0</v>
      </c>
      <c r="U67" s="32">
        <f>SUM(U3:U53)</f>
        <v>0</v>
      </c>
      <c r="V67" s="32">
        <f>SUM(V3:V53)</f>
        <v>0</v>
      </c>
      <c r="W67" s="32">
        <f>SUM(W3:W53)</f>
        <v>0</v>
      </c>
      <c r="X67" s="32">
        <f>SUM(X3:X53)</f>
        <v>0</v>
      </c>
      <c r="Y67" s="32">
        <f>SUM(Y3:Y53)</f>
        <v>0</v>
      </c>
      <c r="Z67" s="32">
        <f>SUM(Z3:Z53)</f>
        <v>0</v>
      </c>
      <c r="AA67" s="32">
        <f>SUM(AA3:AA53)</f>
        <v>0</v>
      </c>
      <c r="AF67">
        <v>28</v>
      </c>
      <c r="AG67">
        <v>15</v>
      </c>
      <c r="AH67">
        <v>40</v>
      </c>
      <c r="AI67">
        <v>18</v>
      </c>
      <c r="AJ67">
        <f>SUM(AF67:AI67)</f>
        <v>101</v>
      </c>
    </row>
    <row r="68" spans="32:35" ht="15">
      <c r="AF68">
        <v>28</v>
      </c>
      <c r="AG68">
        <v>41</v>
      </c>
      <c r="AH68">
        <v>17</v>
      </c>
      <c r="AI68">
        <f>SUM(AF68:AH68)</f>
        <v>86</v>
      </c>
    </row>
    <row r="69" spans="4:7" ht="15.75">
      <c r="D69" s="33" t="s">
        <v>62</v>
      </c>
      <c r="E69" s="33" t="s">
        <v>63</v>
      </c>
      <c r="F69" s="33" t="s">
        <v>64</v>
      </c>
      <c r="G69" s="33" t="s">
        <v>65</v>
      </c>
    </row>
    <row r="70" spans="4:9" ht="15.75">
      <c r="D70" s="34">
        <f>SUM(C67:E67)</f>
        <v>0</v>
      </c>
      <c r="E70" s="34">
        <f>SUM(F67:H67)/2</f>
        <v>0</v>
      </c>
      <c r="F70" s="34">
        <f>SUM(I67:K67)</f>
        <v>0</v>
      </c>
      <c r="G70" s="34">
        <f>SUM(L67:N67)</f>
        <v>0</v>
      </c>
      <c r="H70" s="35"/>
      <c r="I70">
        <f>+F70/175.5</f>
        <v>0</v>
      </c>
    </row>
    <row r="71" spans="4:8" ht="15">
      <c r="D71" s="28"/>
      <c r="E71" s="28"/>
      <c r="F71" s="28"/>
      <c r="G71" s="28"/>
      <c r="H71" s="28"/>
    </row>
    <row r="72" spans="4:7" ht="15">
      <c r="D72" s="35"/>
      <c r="E72" s="35"/>
      <c r="F72" s="35"/>
      <c r="G72" s="35"/>
    </row>
    <row r="74" spans="4:5" ht="15">
      <c r="D74" s="35"/>
      <c r="E74" s="35"/>
    </row>
    <row r="75" spans="4:7" ht="15.75">
      <c r="D75" s="35"/>
      <c r="E75" s="33" t="s">
        <v>63</v>
      </c>
      <c r="F75" s="33" t="s">
        <v>64</v>
      </c>
      <c r="G75" s="33" t="s">
        <v>65</v>
      </c>
    </row>
    <row r="76" spans="4:5" ht="15">
      <c r="D76" s="35"/>
      <c r="E76" s="35"/>
    </row>
    <row r="77" ht="15">
      <c r="H77" s="28"/>
    </row>
    <row r="78" ht="15">
      <c r="G78" s="36"/>
    </row>
    <row r="81" spans="4:7" ht="15.75">
      <c r="D81" s="37"/>
      <c r="E81" s="37"/>
      <c r="F81" s="37"/>
      <c r="G81" s="37"/>
    </row>
    <row r="89" ht="15">
      <c r="B89" t="s">
        <v>66</v>
      </c>
    </row>
    <row r="90" spans="2:9" ht="15">
      <c r="B90" s="38" t="s">
        <v>10</v>
      </c>
      <c r="C90" s="38" t="s">
        <v>67</v>
      </c>
      <c r="D90" s="38" t="s">
        <v>68</v>
      </c>
      <c r="E90" s="38" t="s">
        <v>69</v>
      </c>
      <c r="I90">
        <f>113+62.5</f>
        <v>175.5</v>
      </c>
    </row>
    <row r="91" spans="1:5" ht="15">
      <c r="A91" t="s">
        <v>70</v>
      </c>
      <c r="B91" s="38" t="s">
        <v>71</v>
      </c>
      <c r="C91">
        <v>61</v>
      </c>
      <c r="D91">
        <v>61</v>
      </c>
      <c r="E91">
        <v>61</v>
      </c>
    </row>
    <row r="92" spans="1:5" ht="15">
      <c r="A92" t="s">
        <v>72</v>
      </c>
      <c r="B92">
        <v>61</v>
      </c>
      <c r="C92">
        <v>67</v>
      </c>
      <c r="D92">
        <v>67</v>
      </c>
      <c r="E92">
        <v>61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Agr. Alejandro Simson</dc:creator>
  <cp:keywords/>
  <dc:description/>
  <cp:lastModifiedBy/>
  <dcterms:created xsi:type="dcterms:W3CDTF">2001-08-25T00:02:39Z</dcterms:created>
  <dcterms:modified xsi:type="dcterms:W3CDTF">2018-05-04T18:42:31Z</dcterms:modified>
  <cp:category/>
  <cp:version/>
  <cp:contentType/>
  <cp:contentStatus/>
  <cp:revision>1</cp:revision>
</cp:coreProperties>
</file>