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eaoli\Documents\Work\CUT\Cursos\CF2018\eduper\Clases\5 Costos\"/>
    </mc:Choice>
  </mc:AlternateContent>
  <bookViews>
    <workbookView xWindow="30" yWindow="0" windowWidth="11910" windowHeight="5625" tabRatio="854"/>
  </bookViews>
  <sheets>
    <sheet name="Matriz de flota" sheetId="26" r:id="rId1"/>
    <sheet name="Indicadores proyecto" sheetId="2" r:id="rId2"/>
    <sheet name="Resumen costos" sheetId="10" r:id="rId3"/>
    <sheet name="Administración" sheetId="9" r:id="rId4"/>
    <sheet name="Forwarder" sheetId="16" r:id="rId5"/>
    <sheet name="Harvester" sheetId="1" r:id="rId6"/>
    <sheet name="Listas" sheetId="27" r:id="rId7"/>
  </sheets>
  <definedNames>
    <definedName name="_xlnm.Print_Area" localSheetId="4">Forwarder!$A$1:$Q$60</definedName>
    <definedName name="_xlnm.Print_Area" localSheetId="5">Harvester!$A$1:$R$60</definedName>
    <definedName name="_xlnm.Print_Area" localSheetId="1">'Indicadores proyecto'!$A$5:$I$38</definedName>
    <definedName name="_xlnm.Print_Area" localSheetId="0">'Matriz de flota'!$A$1:$L$12</definedName>
    <definedName name="dolar">Listas!$F$2</definedName>
  </definedNames>
  <calcPr calcId="152511"/>
</workbook>
</file>

<file path=xl/calcChain.xml><?xml version="1.0" encoding="utf-8"?>
<calcChain xmlns="http://schemas.openxmlformats.org/spreadsheetml/2006/main">
  <c r="E41" i="16" l="1"/>
  <c r="F47" i="10" l="1"/>
  <c r="D47" i="10"/>
  <c r="Q17" i="16" l="1"/>
  <c r="Q13" i="1"/>
  <c r="Q8" i="1" l="1"/>
  <c r="Q8" i="16"/>
  <c r="P25" i="16"/>
  <c r="P27" i="16"/>
  <c r="E35" i="16"/>
  <c r="L26" i="1"/>
  <c r="L25" i="1"/>
  <c r="E36" i="1"/>
  <c r="D55" i="1" l="1"/>
  <c r="D54" i="1"/>
  <c r="D54" i="16"/>
  <c r="Q15" i="16"/>
  <c r="Q13" i="16"/>
  <c r="Q16" i="16" s="1"/>
  <c r="K38" i="16"/>
  <c r="K28" i="16"/>
  <c r="K27" i="16"/>
  <c r="K26" i="16"/>
  <c r="K25" i="16"/>
  <c r="K24" i="16"/>
  <c r="K23" i="16"/>
  <c r="K9" i="16"/>
  <c r="K22" i="16" s="1"/>
  <c r="E42" i="16"/>
  <c r="E43" i="16"/>
  <c r="D53" i="16" s="1"/>
  <c r="E44" i="1"/>
  <c r="E42" i="1"/>
  <c r="Q15" i="1"/>
  <c r="Q16" i="1"/>
  <c r="E10" i="9"/>
  <c r="E11" i="9"/>
  <c r="H11" i="9" s="1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H24" i="9" s="1"/>
  <c r="H10" i="9"/>
  <c r="L43" i="1"/>
  <c r="L42" i="1"/>
  <c r="L29" i="1"/>
  <c r="L28" i="1"/>
  <c r="L27" i="1"/>
  <c r="L24" i="1"/>
  <c r="L9" i="1"/>
  <c r="D60" i="16" l="1"/>
  <c r="F23" i="1"/>
  <c r="E43" i="1" l="1"/>
  <c r="F15" i="1"/>
  <c r="Q30" i="1"/>
  <c r="B5" i="1"/>
  <c r="B4" i="1"/>
  <c r="B3" i="1"/>
  <c r="B5" i="16"/>
  <c r="B4" i="16"/>
  <c r="B3" i="16"/>
  <c r="B5" i="9"/>
  <c r="B4" i="9"/>
  <c r="B3" i="9"/>
  <c r="B5" i="10"/>
  <c r="B4" i="10"/>
  <c r="B3" i="10"/>
  <c r="B4" i="2"/>
  <c r="B5" i="2"/>
  <c r="B3" i="2"/>
  <c r="B2" i="9"/>
  <c r="B2" i="10"/>
  <c r="B2" i="2"/>
  <c r="F27" i="10"/>
  <c r="F38" i="10"/>
  <c r="F43" i="10"/>
  <c r="F81" i="9"/>
  <c r="F80" i="9"/>
  <c r="F79" i="9"/>
  <c r="F78" i="9"/>
  <c r="F77" i="9"/>
  <c r="F76" i="9"/>
  <c r="F75" i="9"/>
  <c r="F74" i="9"/>
  <c r="F72" i="9"/>
  <c r="F73" i="9"/>
  <c r="H15" i="9"/>
  <c r="H17" i="9"/>
  <c r="H19" i="9"/>
  <c r="H21" i="9"/>
  <c r="B65" i="9"/>
  <c r="H13" i="9"/>
  <c r="H12" i="9"/>
  <c r="H14" i="9"/>
  <c r="H16" i="9"/>
  <c r="H18" i="9"/>
  <c r="H20" i="9"/>
  <c r="H22" i="9"/>
  <c r="H23" i="9"/>
  <c r="B2" i="26"/>
  <c r="R25" i="16"/>
  <c r="Q25" i="16"/>
  <c r="O25" i="16"/>
  <c r="C54" i="16"/>
  <c r="B1" i="16"/>
  <c r="A9" i="26" s="1"/>
  <c r="C54" i="1"/>
  <c r="L30" i="1"/>
  <c r="F16" i="1"/>
  <c r="B1" i="1"/>
  <c r="D10" i="10" s="1"/>
  <c r="C53" i="16"/>
  <c r="E30" i="16"/>
  <c r="I9" i="26" s="1"/>
  <c r="K43" i="16"/>
  <c r="D61" i="16" s="1"/>
  <c r="E15" i="16"/>
  <c r="E16" i="16" s="1"/>
  <c r="E19" i="16" s="1"/>
  <c r="E22" i="16" s="1"/>
  <c r="E17" i="16" s="1"/>
  <c r="D52" i="16" s="1"/>
  <c r="L23" i="1"/>
  <c r="E31" i="1"/>
  <c r="L48" i="1"/>
  <c r="D62" i="1" s="1"/>
  <c r="C62" i="1" s="1"/>
  <c r="E16" i="1"/>
  <c r="E17" i="1" s="1"/>
  <c r="E20" i="1" s="1"/>
  <c r="E23" i="1" s="1"/>
  <c r="E18" i="1" s="1"/>
  <c r="D14" i="10"/>
  <c r="E14" i="10"/>
  <c r="D53" i="9"/>
  <c r="F42" i="9"/>
  <c r="F55" i="9" s="1"/>
  <c r="F43" i="9"/>
  <c r="F56" i="9" s="1"/>
  <c r="G56" i="9" s="1"/>
  <c r="H56" i="9" s="1"/>
  <c r="F44" i="9"/>
  <c r="F57" i="9" s="1"/>
  <c r="G57" i="9" s="1"/>
  <c r="H57" i="9" s="1"/>
  <c r="F45" i="9"/>
  <c r="F58" i="9" s="1"/>
  <c r="G58" i="9" s="1"/>
  <c r="H58" i="9" s="1"/>
  <c r="F46" i="9"/>
  <c r="F59" i="9" s="1"/>
  <c r="F47" i="9"/>
  <c r="F48" i="9"/>
  <c r="F61" i="9" s="1"/>
  <c r="H32" i="9"/>
  <c r="H33" i="9"/>
  <c r="H34" i="9"/>
  <c r="H39" i="9" s="1"/>
  <c r="E66" i="9" s="1"/>
  <c r="H35" i="9"/>
  <c r="H36" i="9"/>
  <c r="H37" i="9"/>
  <c r="H38" i="9"/>
  <c r="E39" i="9"/>
  <c r="F11" i="10"/>
  <c r="D21" i="2" s="1"/>
  <c r="B59" i="9"/>
  <c r="B58" i="9"/>
  <c r="B46" i="9"/>
  <c r="B45" i="9"/>
  <c r="B61" i="9"/>
  <c r="B60" i="9"/>
  <c r="B48" i="9"/>
  <c r="B47" i="9"/>
  <c r="B43" i="9"/>
  <c r="B56" i="9" s="1"/>
  <c r="B44" i="9"/>
  <c r="B57" i="9" s="1"/>
  <c r="B42" i="9"/>
  <c r="B55" i="9" s="1"/>
  <c r="E82" i="9"/>
  <c r="E9" i="26"/>
  <c r="E8" i="26"/>
  <c r="H11" i="26"/>
  <c r="G9" i="26"/>
  <c r="G8" i="26"/>
  <c r="F11" i="26"/>
  <c r="A41" i="10"/>
  <c r="E10" i="10" l="1"/>
  <c r="A36" i="10"/>
  <c r="A8" i="26"/>
  <c r="F49" i="9"/>
  <c r="F12" i="10" s="1"/>
  <c r="P28" i="16"/>
  <c r="P29" i="16" s="1"/>
  <c r="K48" i="16" s="1"/>
  <c r="K49" i="16" s="1"/>
  <c r="C14" i="10"/>
  <c r="B1" i="9"/>
  <c r="E36" i="16"/>
  <c r="E38" i="16" s="1"/>
  <c r="A40" i="10"/>
  <c r="B1" i="26"/>
  <c r="B1" i="2"/>
  <c r="A35" i="10"/>
  <c r="E37" i="1"/>
  <c r="Q17" i="1" s="1"/>
  <c r="G59" i="9"/>
  <c r="H59" i="9" s="1"/>
  <c r="F60" i="9"/>
  <c r="G60" i="9" s="1"/>
  <c r="H60" i="9" s="1"/>
  <c r="G55" i="9"/>
  <c r="G61" i="9"/>
  <c r="H61" i="9" s="1"/>
  <c r="H25" i="9"/>
  <c r="F82" i="9"/>
  <c r="F31" i="10" s="1"/>
  <c r="C31" i="10" s="1"/>
  <c r="L44" i="1"/>
  <c r="D60" i="1" s="1"/>
  <c r="L36" i="1"/>
  <c r="L34" i="1"/>
  <c r="I8" i="26"/>
  <c r="B1" i="10"/>
  <c r="D51" i="16"/>
  <c r="C52" i="16"/>
  <c r="C61" i="16"/>
  <c r="D31" i="2"/>
  <c r="C8" i="10"/>
  <c r="F17" i="1"/>
  <c r="F18" i="1" s="1"/>
  <c r="C60" i="1"/>
  <c r="E39" i="1"/>
  <c r="L31" i="1"/>
  <c r="D57" i="1" s="1"/>
  <c r="B57" i="1" s="1"/>
  <c r="Q31" i="1"/>
  <c r="D53" i="1"/>
  <c r="L49" i="1"/>
  <c r="Q32" i="1"/>
  <c r="L53" i="1" s="1"/>
  <c r="L54" i="1" s="1"/>
  <c r="B53" i="16" l="1"/>
  <c r="B62" i="1"/>
  <c r="B54" i="1"/>
  <c r="L32" i="1"/>
  <c r="L33" i="1"/>
  <c r="L35" i="1"/>
  <c r="F39" i="1"/>
  <c r="L52" i="1"/>
  <c r="L38" i="1"/>
  <c r="D59" i="1" s="1"/>
  <c r="L37" i="1"/>
  <c r="K33" i="16"/>
  <c r="K34" i="16"/>
  <c r="K30" i="16"/>
  <c r="K31" i="16"/>
  <c r="K32" i="16"/>
  <c r="K29" i="16"/>
  <c r="D56" i="16" s="1"/>
  <c r="C56" i="16" s="1"/>
  <c r="K35" i="16"/>
  <c r="D58" i="16" s="1"/>
  <c r="C58" i="16" s="1"/>
  <c r="B52" i="16"/>
  <c r="K39" i="16"/>
  <c r="D59" i="16" s="1"/>
  <c r="C59" i="16" s="1"/>
  <c r="B54" i="16"/>
  <c r="K47" i="16"/>
  <c r="K44" i="16"/>
  <c r="B61" i="16"/>
  <c r="B31" i="10"/>
  <c r="H26" i="9"/>
  <c r="H27" i="9" s="1"/>
  <c r="F62" i="9"/>
  <c r="G62" i="9"/>
  <c r="H55" i="9"/>
  <c r="H62" i="9" s="1"/>
  <c r="E65" i="9" s="1"/>
  <c r="E67" i="9" s="1"/>
  <c r="F30" i="10" s="1"/>
  <c r="C30" i="10" s="1"/>
  <c r="B30" i="10" s="1"/>
  <c r="C57" i="1"/>
  <c r="D61" i="1"/>
  <c r="C61" i="1" s="1"/>
  <c r="F9" i="26"/>
  <c r="K58" i="16"/>
  <c r="H9" i="26" s="1"/>
  <c r="E54" i="16"/>
  <c r="K57" i="16"/>
  <c r="E53" i="16"/>
  <c r="E23" i="10" s="1"/>
  <c r="E52" i="16"/>
  <c r="E61" i="16"/>
  <c r="B51" i="16"/>
  <c r="C51" i="16"/>
  <c r="B60" i="1"/>
  <c r="C53" i="1"/>
  <c r="B53" i="1"/>
  <c r="E59" i="1"/>
  <c r="B59" i="1"/>
  <c r="C59" i="1"/>
  <c r="E60" i="1"/>
  <c r="E53" i="1"/>
  <c r="E62" i="1"/>
  <c r="E54" i="1"/>
  <c r="D23" i="10" s="1"/>
  <c r="L61" i="1"/>
  <c r="L60" i="1"/>
  <c r="F8" i="26"/>
  <c r="E57" i="1"/>
  <c r="D58" i="1" l="1"/>
  <c r="B58" i="1" s="1"/>
  <c r="C58" i="1"/>
  <c r="C56" i="1" s="1"/>
  <c r="E58" i="1"/>
  <c r="D20" i="10" s="1"/>
  <c r="E56" i="16"/>
  <c r="E19" i="10" s="1"/>
  <c r="B56" i="16"/>
  <c r="E61" i="1"/>
  <c r="D22" i="10" s="1"/>
  <c r="D56" i="1"/>
  <c r="D57" i="16"/>
  <c r="E59" i="16"/>
  <c r="E36" i="10" s="1"/>
  <c r="F10" i="26"/>
  <c r="F12" i="26" s="1"/>
  <c r="B58" i="16"/>
  <c r="B59" i="16"/>
  <c r="E58" i="16"/>
  <c r="E21" i="10" s="1"/>
  <c r="B61" i="1"/>
  <c r="K62" i="16"/>
  <c r="E11" i="10"/>
  <c r="K61" i="16"/>
  <c r="E12" i="10" s="1"/>
  <c r="K60" i="16"/>
  <c r="E13" i="10" s="1"/>
  <c r="E25" i="10"/>
  <c r="E41" i="10"/>
  <c r="E51" i="16"/>
  <c r="E24" i="10"/>
  <c r="F29" i="10"/>
  <c r="H85" i="9"/>
  <c r="D25" i="10"/>
  <c r="D11" i="10"/>
  <c r="L64" i="1"/>
  <c r="D12" i="10" s="1"/>
  <c r="L63" i="1"/>
  <c r="D13" i="10" s="1"/>
  <c r="L65" i="1"/>
  <c r="D40" i="10"/>
  <c r="D35" i="10"/>
  <c r="D21" i="10"/>
  <c r="D19" i="10"/>
  <c r="D34" i="2"/>
  <c r="H8" i="26"/>
  <c r="H10" i="26" s="1"/>
  <c r="H12" i="26" s="1"/>
  <c r="B56" i="1" l="1"/>
  <c r="E56" i="1"/>
  <c r="B57" i="16"/>
  <c r="E57" i="16"/>
  <c r="E20" i="10" s="1"/>
  <c r="C20" i="10" s="1"/>
  <c r="B20" i="10" s="1"/>
  <c r="C57" i="16"/>
  <c r="C13" i="10"/>
  <c r="C25" i="10"/>
  <c r="B25" i="10" s="1"/>
  <c r="C23" i="10"/>
  <c r="B23" i="10" s="1"/>
  <c r="E60" i="16"/>
  <c r="D55" i="16"/>
  <c r="B60" i="16"/>
  <c r="B55" i="16" s="1"/>
  <c r="B62" i="16" s="1"/>
  <c r="C60" i="16"/>
  <c r="C12" i="10"/>
  <c r="D23" i="2" s="1"/>
  <c r="C11" i="10"/>
  <c r="D20" i="2" s="1"/>
  <c r="D35" i="2" s="1"/>
  <c r="C21" i="10"/>
  <c r="B21" i="10" s="1"/>
  <c r="C36" i="10"/>
  <c r="B36" i="10" s="1"/>
  <c r="E38" i="10"/>
  <c r="E43" i="10"/>
  <c r="C41" i="10"/>
  <c r="B41" i="10" s="1"/>
  <c r="G90" i="9"/>
  <c r="G92" i="9"/>
  <c r="G91" i="9"/>
  <c r="C29" i="10"/>
  <c r="B29" i="10" s="1"/>
  <c r="D43" i="10"/>
  <c r="C40" i="10"/>
  <c r="B40" i="10" s="1"/>
  <c r="C19" i="10"/>
  <c r="C35" i="10"/>
  <c r="B35" i="10" s="1"/>
  <c r="D38" i="10"/>
  <c r="C55" i="16" l="1"/>
  <c r="C62" i="16" s="1"/>
  <c r="C38" i="10"/>
  <c r="B38" i="10"/>
  <c r="E46" i="16"/>
  <c r="D50" i="16" s="1"/>
  <c r="D62" i="16"/>
  <c r="E62" i="16" s="1"/>
  <c r="E26" i="10" s="1"/>
  <c r="E55" i="16"/>
  <c r="E22" i="10"/>
  <c r="C22" i="10" s="1"/>
  <c r="B22" i="10" s="1"/>
  <c r="F45" i="10"/>
  <c r="H94" i="9"/>
  <c r="C43" i="10"/>
  <c r="B19" i="10"/>
  <c r="E27" i="10" l="1"/>
  <c r="E44" i="10" s="1"/>
  <c r="E47" i="10" s="1"/>
  <c r="E50" i="16"/>
  <c r="E45" i="10" s="1"/>
  <c r="C50" i="16"/>
  <c r="B50" i="16"/>
  <c r="D63" i="16"/>
  <c r="F32" i="10"/>
  <c r="F33" i="10" s="1"/>
  <c r="H96" i="9"/>
  <c r="H97" i="9" s="1"/>
  <c r="B43" i="10"/>
  <c r="D36" i="2"/>
  <c r="B63" i="16" l="1"/>
  <c r="C63" i="16"/>
  <c r="E63" i="16"/>
  <c r="D11" i="26"/>
  <c r="F16" i="10"/>
  <c r="F15" i="10"/>
  <c r="C32" i="10"/>
  <c r="B32" i="10" s="1"/>
  <c r="K56" i="16" l="1"/>
  <c r="F53" i="16"/>
  <c r="F52" i="16"/>
  <c r="F56" i="16"/>
  <c r="K63" i="16"/>
  <c r="E16" i="10" s="1"/>
  <c r="F61" i="16"/>
  <c r="F51" i="16"/>
  <c r="F57" i="16"/>
  <c r="F50" i="16"/>
  <c r="F63" i="16"/>
  <c r="F54" i="16"/>
  <c r="F59" i="16"/>
  <c r="F62" i="16"/>
  <c r="F58" i="16"/>
  <c r="F60" i="16"/>
  <c r="F44" i="10"/>
  <c r="C33" i="10"/>
  <c r="B33" i="10" s="1"/>
  <c r="F55" i="16" l="1"/>
  <c r="D9" i="26"/>
  <c r="E15" i="10"/>
  <c r="E55" i="1" l="1"/>
  <c r="C55" i="1" l="1"/>
  <c r="C52" i="1" s="1"/>
  <c r="B55" i="1"/>
  <c r="B52" i="1" s="1"/>
  <c r="E52" i="1"/>
  <c r="D24" i="10"/>
  <c r="D52" i="1"/>
  <c r="C24" i="10" l="1"/>
  <c r="B24" i="10" s="1"/>
  <c r="E47" i="1"/>
  <c r="D51" i="1" s="1"/>
  <c r="D63" i="1"/>
  <c r="D64" i="1" l="1"/>
  <c r="C64" i="1" s="1"/>
  <c r="E63" i="1"/>
  <c r="C63" i="1"/>
  <c r="B63" i="1"/>
  <c r="B51" i="1"/>
  <c r="C51" i="1"/>
  <c r="E51" i="1"/>
  <c r="B64" i="1" l="1"/>
  <c r="E64" i="1"/>
  <c r="L59" i="1" s="1"/>
  <c r="F64" i="1"/>
  <c r="F59" i="1"/>
  <c r="D26" i="10"/>
  <c r="F63" i="1"/>
  <c r="D45" i="10"/>
  <c r="C45" i="10" s="1"/>
  <c r="L66" i="1" l="1"/>
  <c r="D16" i="10" s="1"/>
  <c r="C16" i="10" s="1"/>
  <c r="D33" i="2" s="1"/>
  <c r="F57" i="1"/>
  <c r="F61" i="1"/>
  <c r="F60" i="1"/>
  <c r="F54" i="1"/>
  <c r="F53" i="1"/>
  <c r="F51" i="1"/>
  <c r="F55" i="1"/>
  <c r="F62" i="1"/>
  <c r="F58" i="1"/>
  <c r="C26" i="10"/>
  <c r="B26" i="10" s="1"/>
  <c r="D27" i="10"/>
  <c r="B45" i="10"/>
  <c r="D28" i="2"/>
  <c r="D8" i="26"/>
  <c r="D10" i="26" s="1"/>
  <c r="D12" i="26" s="1"/>
  <c r="D15" i="10"/>
  <c r="C15" i="10" s="1"/>
  <c r="D32" i="2" s="1"/>
  <c r="D25" i="2" l="1"/>
  <c r="D26" i="2" s="1"/>
  <c r="D27" i="2" s="1"/>
  <c r="F56" i="1"/>
  <c r="F52" i="1"/>
  <c r="D44" i="10"/>
  <c r="C44" i="10" s="1"/>
  <c r="B44" i="10" s="1"/>
  <c r="C27" i="10"/>
  <c r="B27" i="10" s="1"/>
  <c r="D24" i="2"/>
  <c r="D29" i="2"/>
  <c r="D30" i="2" l="1"/>
</calcChain>
</file>

<file path=xl/sharedStrings.xml><?xml version="1.0" encoding="utf-8"?>
<sst xmlns="http://schemas.openxmlformats.org/spreadsheetml/2006/main" count="653" uniqueCount="305">
  <si>
    <t xml:space="preserve"> </t>
  </si>
  <si>
    <t>min</t>
  </si>
  <si>
    <t>%</t>
  </si>
  <si>
    <t>TOTAL COST / REVENUE</t>
  </si>
  <si>
    <t>km</t>
  </si>
  <si>
    <t>TOTAL</t>
  </si>
  <si>
    <t>m3</t>
  </si>
  <si>
    <t xml:space="preserve">TOTAL  </t>
  </si>
  <si>
    <t>US$/m3</t>
  </si>
  <si>
    <t>Tipo de Maquina</t>
  </si>
  <si>
    <t>Especie</t>
  </si>
  <si>
    <t>Fecha</t>
  </si>
  <si>
    <t>E. grandis</t>
  </si>
  <si>
    <t>Tala rasa pulpa descortezado total</t>
  </si>
  <si>
    <t>E. dunnii</t>
  </si>
  <si>
    <t>Tala rasa pulpa descortezado parcial</t>
  </si>
  <si>
    <t>Tala rasa multiproducto descortezado</t>
  </si>
  <si>
    <t>Tala rasa multiproducto</t>
  </si>
  <si>
    <t>E. bicostata</t>
  </si>
  <si>
    <t>Raleo selectivo pulpa</t>
  </si>
  <si>
    <t>P. taeda</t>
  </si>
  <si>
    <t>Raleo selectivo multiproducto</t>
  </si>
  <si>
    <t>P. elliotti</t>
  </si>
  <si>
    <t>Raleo 5 fila + selectivo pulpa</t>
  </si>
  <si>
    <t>Raleo 5 fila + selectivo multiproducto</t>
  </si>
  <si>
    <t>Maquina</t>
  </si>
  <si>
    <t>Cliente</t>
  </si>
  <si>
    <t>Evaluador</t>
  </si>
  <si>
    <t>1.1 Capital invertido</t>
  </si>
  <si>
    <t>Precio maquina</t>
  </si>
  <si>
    <t>Equipamiento adicional</t>
  </si>
  <si>
    <t>GPS</t>
  </si>
  <si>
    <t>Otro</t>
  </si>
  <si>
    <t>Total capital invertido</t>
  </si>
  <si>
    <t>Valor de reventa (%)</t>
  </si>
  <si>
    <t>Periodo de pago</t>
  </si>
  <si>
    <t>Meses</t>
  </si>
  <si>
    <t>USD</t>
  </si>
  <si>
    <t>Fines de semana</t>
  </si>
  <si>
    <t>Numero de turnos diarios</t>
  </si>
  <si>
    <t>Horas</t>
  </si>
  <si>
    <t>1.4 Adicionales</t>
  </si>
  <si>
    <t xml:space="preserve">Costos anuales ej. Seguro, Licencias </t>
  </si>
  <si>
    <t>1.5 Rentabilidad sobre costos</t>
  </si>
  <si>
    <t>Costos fijos</t>
  </si>
  <si>
    <t>Mano de Obra</t>
  </si>
  <si>
    <t>Seguro/Licencias</t>
  </si>
  <si>
    <t>Costos variables</t>
  </si>
  <si>
    <t>6.1 RESUMEN</t>
  </si>
  <si>
    <t>Rentabilidad</t>
  </si>
  <si>
    <t>USD/l</t>
  </si>
  <si>
    <t>2.1 Costos operativos</t>
  </si>
  <si>
    <t>Precio gasoil</t>
  </si>
  <si>
    <t>Rodados y sierra</t>
  </si>
  <si>
    <t>Espada</t>
  </si>
  <si>
    <t>Cadena</t>
  </si>
  <si>
    <t>Cubiertas</t>
  </si>
  <si>
    <t>Costo rodados y sierra</t>
  </si>
  <si>
    <t>USD/mes</t>
  </si>
  <si>
    <t>Por maquina</t>
  </si>
  <si>
    <t>Impuestos</t>
  </si>
  <si>
    <t xml:space="preserve">Flota </t>
  </si>
  <si>
    <t>USD/año</t>
  </si>
  <si>
    <t>Cantidad de traslados al año</t>
  </si>
  <si>
    <t>Costo por traslado</t>
  </si>
  <si>
    <t>Costo anual de traslados</t>
  </si>
  <si>
    <t xml:space="preserve">Costo de traslado por hora </t>
  </si>
  <si>
    <t>3.1 Mano de obra</t>
  </si>
  <si>
    <t>Operadores por tuno</t>
  </si>
  <si>
    <t>Otras compensaciones</t>
  </si>
  <si>
    <t>Mano de obra por hora</t>
  </si>
  <si>
    <t>Traslados</t>
  </si>
  <si>
    <t>Cuota mensual</t>
  </si>
  <si>
    <t>Imprevistos 10%</t>
  </si>
  <si>
    <t>Repuestos</t>
  </si>
  <si>
    <t>2.2 Costos de mantenimiento reparaciones y repuestos</t>
  </si>
  <si>
    <t>Otros (ej. Estacionamiento)</t>
  </si>
  <si>
    <t>Impuestos &amp; otros</t>
  </si>
  <si>
    <t xml:space="preserve">Productividad anual promedio </t>
  </si>
  <si>
    <t>m3/año</t>
  </si>
  <si>
    <t>Volumen</t>
  </si>
  <si>
    <t>medio (m3)</t>
  </si>
  <si>
    <t xml:space="preserve">% </t>
  </si>
  <si>
    <t>E. maidenii</t>
  </si>
  <si>
    <t>Volumen a cosechar por hora</t>
  </si>
  <si>
    <t>Numero requerido de maquinas</t>
  </si>
  <si>
    <t>5.1 Maquinas necesarias</t>
  </si>
  <si>
    <t>Redondeo numero requerido de maquinas</t>
  </si>
  <si>
    <t>del total</t>
  </si>
  <si>
    <t>4.1 Escenarios de productividad</t>
  </si>
  <si>
    <t>Cantidad</t>
  </si>
  <si>
    <t>Costo (USD)</t>
  </si>
  <si>
    <t>6.2 Resumen - flota</t>
  </si>
  <si>
    <t>USD/m3</t>
  </si>
  <si>
    <t>Numero de maquinas</t>
  </si>
  <si>
    <t>Numero de operadores</t>
  </si>
  <si>
    <t>Capital invertido</t>
  </si>
  <si>
    <t>Valor residual</t>
  </si>
  <si>
    <t>Costo de cosecha</t>
  </si>
  <si>
    <t>Operación</t>
  </si>
  <si>
    <t>Consumo gas oíl</t>
  </si>
  <si>
    <t>Precio liquido hidráulico</t>
  </si>
  <si>
    <t>Sub total equipamiento adicional</t>
  </si>
  <si>
    <t>Cuota anual de crédito</t>
  </si>
  <si>
    <t>1.2 Crédito</t>
  </si>
  <si>
    <t>Interés anual del crédito</t>
  </si>
  <si>
    <t>Costo gas oíl</t>
  </si>
  <si>
    <t>1.3 Horas de operación</t>
  </si>
  <si>
    <t>Costo liquido hidráulico</t>
  </si>
  <si>
    <t>Bono anual</t>
  </si>
  <si>
    <t>Total días</t>
  </si>
  <si>
    <t>Otras compensaciones anual</t>
  </si>
  <si>
    <t>Mano de obra anual</t>
  </si>
  <si>
    <t>Días perdidos por licencias</t>
  </si>
  <si>
    <t>Días perdidos por enfermedad</t>
  </si>
  <si>
    <t>Días productivos perdidos por clima/parada de fabrica</t>
  </si>
  <si>
    <t>Costo anual de rodados y sierra</t>
  </si>
  <si>
    <t>Total anual de días productivos</t>
  </si>
  <si>
    <t>Días</t>
  </si>
  <si>
    <t>Largo del turno</t>
  </si>
  <si>
    <t>E. glóbulos</t>
  </si>
  <si>
    <t>Horas maquina por día</t>
  </si>
  <si>
    <t>2.3 Costos de traslados</t>
  </si>
  <si>
    <t>Vida útil de la maquina en horas</t>
  </si>
  <si>
    <t>Volumen anual a cosechar</t>
  </si>
  <si>
    <t>m3/día</t>
  </si>
  <si>
    <t>Crédito</t>
  </si>
  <si>
    <t>Gas oíl</t>
  </si>
  <si>
    <t>Facturación total anual</t>
  </si>
  <si>
    <t>Horas maquina por año</t>
  </si>
  <si>
    <t>Vida útil de la maquina en años</t>
  </si>
  <si>
    <t>Menos rodados y sierra</t>
  </si>
  <si>
    <t>Opti</t>
  </si>
  <si>
    <t>Años</t>
  </si>
  <si>
    <t xml:space="preserve">Produccion anual del sistema       </t>
  </si>
  <si>
    <t>Cantidad de maquinas</t>
  </si>
  <si>
    <t>Turnos</t>
  </si>
  <si>
    <t>Dias de trabajo al año</t>
  </si>
  <si>
    <t>Rodados</t>
  </si>
  <si>
    <t>Costo rodados</t>
  </si>
  <si>
    <t>Volumen anual a extraer</t>
  </si>
  <si>
    <t>Tiempo de ciclo</t>
  </si>
  <si>
    <t>Volumen de carga</t>
  </si>
  <si>
    <t>Productividad hora</t>
  </si>
  <si>
    <t>Horas maquina</t>
  </si>
  <si>
    <t>USD por m3</t>
  </si>
  <si>
    <t>Lubricantes</t>
  </si>
  <si>
    <t>Costos operativos</t>
  </si>
  <si>
    <t>Mano de obra</t>
  </si>
  <si>
    <t xml:space="preserve">Mantenimiento </t>
  </si>
  <si>
    <t>Seguro, licencias</t>
  </si>
  <si>
    <t>Operarios</t>
  </si>
  <si>
    <t>Personal requerido</t>
  </si>
  <si>
    <t>Gerente</t>
  </si>
  <si>
    <t>Supervisor</t>
  </si>
  <si>
    <t>Administrativos</t>
  </si>
  <si>
    <t>Seguridad</t>
  </si>
  <si>
    <t>Encargado de depósito</t>
  </si>
  <si>
    <t>Chofer</t>
  </si>
  <si>
    <t>Mecánicos</t>
  </si>
  <si>
    <t>Asistente mecánico</t>
  </si>
  <si>
    <t>Operario</t>
  </si>
  <si>
    <t>Responsable de turno</t>
  </si>
  <si>
    <t>Cocinero/limpieza</t>
  </si>
  <si>
    <t>Recursos Humanos</t>
  </si>
  <si>
    <t>Secretario/a</t>
  </si>
  <si>
    <t>requerida</t>
  </si>
  <si>
    <t>Costo</t>
  </si>
  <si>
    <t>Contribuciones</t>
  </si>
  <si>
    <t>Tipo</t>
  </si>
  <si>
    <t>km/mes</t>
  </si>
  <si>
    <t>Costo variable</t>
  </si>
  <si>
    <t>USD/km</t>
  </si>
  <si>
    <t>Camioneta 4x4</t>
  </si>
  <si>
    <t>Camioneta 4x2</t>
  </si>
  <si>
    <t>Micro transporte personal</t>
  </si>
  <si>
    <t>Administración y apoyo</t>
  </si>
  <si>
    <t>Otros costos</t>
  </si>
  <si>
    <t>Alquiler</t>
  </si>
  <si>
    <t>Mantenimiento/renta equipamiento</t>
  </si>
  <si>
    <t>Agua y electricidad</t>
  </si>
  <si>
    <t>Insumos de oficina</t>
  </si>
  <si>
    <t>Total otros costos</t>
  </si>
  <si>
    <t>mensual (UYP)</t>
  </si>
  <si>
    <t>Total capital invertido (USD)</t>
  </si>
  <si>
    <t>Total costos variables (USD)</t>
  </si>
  <si>
    <t>Total (USD)</t>
  </si>
  <si>
    <t>Seguro</t>
  </si>
  <si>
    <t>Costo (USD/m3)</t>
  </si>
  <si>
    <t>Extras</t>
  </si>
  <si>
    <t>anual (USD)</t>
  </si>
  <si>
    <t>Total anual de sueldos (USD)</t>
  </si>
  <si>
    <t>Vehículos de apoyo</t>
  </si>
  <si>
    <t>Camión cisterna</t>
  </si>
  <si>
    <t>Costo vehículo</t>
  </si>
  <si>
    <t>Costos de financiación</t>
  </si>
  <si>
    <t>Duración proyecto (años)</t>
  </si>
  <si>
    <t>Interés</t>
  </si>
  <si>
    <t>Cuota anual</t>
  </si>
  <si>
    <t>Resumen vehículos de apoyo</t>
  </si>
  <si>
    <t>Comunicación</t>
  </si>
  <si>
    <t>Alquiler/mantenimiento deposito</t>
  </si>
  <si>
    <t>Sub total anual costos administración y apoyo (USD)</t>
  </si>
  <si>
    <t>Rentabilidad sobre administración y apoyo</t>
  </si>
  <si>
    <t>Volumen individual promedio (m3/árbol)</t>
  </si>
  <si>
    <t>Relación UYP/USD</t>
  </si>
  <si>
    <t>Extracción pulpa</t>
  </si>
  <si>
    <t>Extracción varios productos</t>
  </si>
  <si>
    <t>Área</t>
  </si>
  <si>
    <t>Productividad</t>
  </si>
  <si>
    <t>Distancia extracción</t>
  </si>
  <si>
    <t>Costo de extracción</t>
  </si>
  <si>
    <t>TOTAL ANUAL ADMINISTRACION Y APOYO (USD)</t>
  </si>
  <si>
    <t>Total extras (USD)</t>
  </si>
  <si>
    <t>Flota cosecha</t>
  </si>
  <si>
    <t>Flota apoyo</t>
  </si>
  <si>
    <t>Periodo de contrato</t>
  </si>
  <si>
    <t>Volumen de contrato</t>
  </si>
  <si>
    <t>Detalles del proyecto</t>
  </si>
  <si>
    <t>Total mantenimiento</t>
  </si>
  <si>
    <t>Imprevistos</t>
  </si>
  <si>
    <t>Capital empleado (USD)</t>
  </si>
  <si>
    <t>Totas costos variables</t>
  </si>
  <si>
    <t>m3 año</t>
  </si>
  <si>
    <t>Facturación total USD/año</t>
  </si>
  <si>
    <t>Gas Oíl</t>
  </si>
  <si>
    <t>Total administración y apoyo</t>
  </si>
  <si>
    <t>Depreciación</t>
  </si>
  <si>
    <t>Total depreciación</t>
  </si>
  <si>
    <t>Capital invertido (USD)</t>
  </si>
  <si>
    <t>Rentabilidad sobre capital invertido</t>
  </si>
  <si>
    <t>Tarifa promedio (USD/m3)</t>
  </si>
  <si>
    <t>Rentabilidad mensual (USD)</t>
  </si>
  <si>
    <t>Numero de empleados</t>
  </si>
  <si>
    <t>Resumen de costos</t>
  </si>
  <si>
    <t>INDICADORES DEL PROYECTO</t>
  </si>
  <si>
    <t>Numero de vehículos de apoyo</t>
  </si>
  <si>
    <t>Meses de operación al año</t>
  </si>
  <si>
    <t>Facturación anual (USD)</t>
  </si>
  <si>
    <t>Facturación mensual promedio (USD)</t>
  </si>
  <si>
    <t>Facturación mensual promedio por maquina (USD)</t>
  </si>
  <si>
    <t>Rentabilidad anual (USD)</t>
  </si>
  <si>
    <t>Rotación del capital invertido</t>
  </si>
  <si>
    <t>Cosecha anual (m3)</t>
  </si>
  <si>
    <t>Depreciación anual de maquinas (USD)</t>
  </si>
  <si>
    <t>Proporción de gas oíl en la facturación</t>
  </si>
  <si>
    <t>Numero de empleados/maquina</t>
  </si>
  <si>
    <t>Sueldo nominal anual</t>
  </si>
  <si>
    <t xml:space="preserve">Impuestos anuales </t>
  </si>
  <si>
    <t>IRAE</t>
  </si>
  <si>
    <t>Patrimonio</t>
  </si>
  <si>
    <t>Tracks (juego)</t>
  </si>
  <si>
    <t>Pfrevencionista</t>
  </si>
  <si>
    <t>Impuestos, cargas sociales, etc.</t>
  </si>
  <si>
    <t>Precio aceite motor</t>
  </si>
  <si>
    <t>Precio aceite de cadena</t>
  </si>
  <si>
    <t>Precio grasa</t>
  </si>
  <si>
    <t>USD/kg</t>
  </si>
  <si>
    <t>Precio otros (refrigerante, etc.)</t>
  </si>
  <si>
    <t>Costo aceite de motor</t>
  </si>
  <si>
    <t>Costo grasa</t>
  </si>
  <si>
    <t>Costo otros (refrigerante, etc.)</t>
  </si>
  <si>
    <t>Costo anual aceite de motor</t>
  </si>
  <si>
    <t>Costo anual liquido hidráulico</t>
  </si>
  <si>
    <t>Costo anual grasa</t>
  </si>
  <si>
    <t>Costo anual otros (refrigerante, etc.)</t>
  </si>
  <si>
    <t>Repuestos harvester</t>
  </si>
  <si>
    <t>Repuestos cabezal</t>
  </si>
  <si>
    <t>Sueldo liquido</t>
  </si>
  <si>
    <t>Sueldo liquido operador</t>
  </si>
  <si>
    <t>Imp., cargas sociales sobre compensaciones</t>
  </si>
  <si>
    <t>Repuestos y Mantenimiento</t>
  </si>
  <si>
    <t>Costo anual gas oíl</t>
  </si>
  <si>
    <t>Costo anual rodados</t>
  </si>
  <si>
    <t>Total annual liquido</t>
  </si>
  <si>
    <t>Precio aceite de transmisión</t>
  </si>
  <si>
    <t>Costo aceite de cadena</t>
  </si>
  <si>
    <t>Costo aceite de transmisión</t>
  </si>
  <si>
    <t>Costo anual aceite de cadena</t>
  </si>
  <si>
    <t>Costo anual aceite de transmisión</t>
  </si>
  <si>
    <t>Mantenimiento y reparación cabezal</t>
  </si>
  <si>
    <t>Mantenimiento y reparación harvester</t>
  </si>
  <si>
    <t>Costo anual repuestos, mantenimiento y reparación</t>
  </si>
  <si>
    <t>Precio gas oíl 10 S UYP</t>
  </si>
  <si>
    <t>Precio gas oíl 50 S UYP</t>
  </si>
  <si>
    <t>Mantenimiento y reparación</t>
  </si>
  <si>
    <t>Hv1</t>
  </si>
  <si>
    <t>Hv2</t>
  </si>
  <si>
    <t>FW1</t>
  </si>
  <si>
    <t>FW2</t>
  </si>
  <si>
    <t>C1</t>
  </si>
  <si>
    <t>C2</t>
  </si>
  <si>
    <t>C3</t>
  </si>
  <si>
    <t>C4</t>
  </si>
  <si>
    <t>C5</t>
  </si>
  <si>
    <t>C6</t>
  </si>
  <si>
    <t>Fw1</t>
  </si>
  <si>
    <t>h</t>
  </si>
  <si>
    <t>USD/h</t>
  </si>
  <si>
    <t>m3/h</t>
  </si>
  <si>
    <t>h/año</t>
  </si>
  <si>
    <t>l/h</t>
  </si>
  <si>
    <t>Vida útil (h)</t>
  </si>
  <si>
    <t>DM%</t>
  </si>
  <si>
    <t>EO%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</si>
</sst>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"/>
    <numFmt numFmtId="165" formatCode="0.0%"/>
    <numFmt numFmtId="166" formatCode="&quot;R&quot;\ #,##0"/>
    <numFmt numFmtId="167" formatCode="#,##0.0"/>
    <numFmt numFmtId="168" formatCode="[$$-409]#,##0.00"/>
    <numFmt numFmtId="169" formatCode="0.0000%"/>
  </numFmts>
  <fonts count="15" x14ac:knownFonts="1">
    <font>
      <sz val="10"/>
      <name val="Arial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i/>
      <sz val="11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sz val="11"/>
      <color indexed="9"/>
      <name val="Calibri"/>
      <family val="2"/>
      <scheme val="minor"/>
    </font>
    <font>
      <sz val="14"/>
      <name val="Calibri"/>
      <family val="2"/>
      <scheme val="minor"/>
    </font>
    <font>
      <i/>
      <sz val="12"/>
      <name val="Calibri"/>
      <family val="2"/>
      <scheme val="minor"/>
    </font>
    <font>
      <b/>
      <sz val="14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0D51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4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504">
    <xf numFmtId="0" fontId="0" fillId="0" borderId="0" xfId="0"/>
    <xf numFmtId="0" fontId="2" fillId="0" borderId="0" xfId="0" applyFont="1" applyAlignment="1">
      <alignment horizontal="left" vertical="center" wrapText="1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0" xfId="0" applyFont="1" applyBorder="1"/>
    <xf numFmtId="3" fontId="3" fillId="2" borderId="4" xfId="0" applyNumberFormat="1" applyFont="1" applyFill="1" applyBorder="1"/>
    <xf numFmtId="0" fontId="5" fillId="0" borderId="5" xfId="0" applyFont="1" applyBorder="1"/>
    <xf numFmtId="0" fontId="3" fillId="2" borderId="6" xfId="0" applyFont="1" applyFill="1" applyBorder="1"/>
    <xf numFmtId="2" fontId="3" fillId="2" borderId="6" xfId="0" applyNumberFormat="1" applyFont="1" applyFill="1" applyBorder="1"/>
    <xf numFmtId="2" fontId="3" fillId="2" borderId="7" xfId="0" applyNumberFormat="1" applyFont="1" applyFill="1" applyBorder="1"/>
    <xf numFmtId="2" fontId="3" fillId="2" borderId="8" xfId="0" applyNumberFormat="1" applyFont="1" applyFill="1" applyBorder="1"/>
    <xf numFmtId="165" fontId="3" fillId="2" borderId="7" xfId="0" applyNumberFormat="1" applyFont="1" applyFill="1" applyBorder="1"/>
    <xf numFmtId="0" fontId="4" fillId="2" borderId="9" xfId="0" applyFont="1" applyFill="1" applyBorder="1"/>
    <xf numFmtId="0" fontId="4" fillId="2" borderId="1" xfId="0" applyFont="1" applyFill="1" applyBorder="1"/>
    <xf numFmtId="3" fontId="3" fillId="2" borderId="9" xfId="0" applyNumberFormat="1" applyFont="1" applyFill="1" applyBorder="1"/>
    <xf numFmtId="3" fontId="3" fillId="2" borderId="1" xfId="0" applyNumberFormat="1" applyFont="1" applyFill="1" applyBorder="1"/>
    <xf numFmtId="3" fontId="3" fillId="2" borderId="2" xfId="0" applyNumberFormat="1" applyFont="1" applyFill="1" applyBorder="1"/>
    <xf numFmtId="0" fontId="4" fillId="2" borderId="3" xfId="0" applyFont="1" applyFill="1" applyBorder="1"/>
    <xf numFmtId="0" fontId="4" fillId="2" borderId="0" xfId="0" applyFont="1" applyFill="1" applyBorder="1"/>
    <xf numFmtId="3" fontId="3" fillId="2" borderId="3" xfId="0" applyNumberFormat="1" applyFont="1" applyFill="1" applyBorder="1"/>
    <xf numFmtId="3" fontId="3" fillId="2" borderId="0" xfId="0" applyNumberFormat="1" applyFont="1" applyFill="1" applyBorder="1"/>
    <xf numFmtId="3" fontId="3" fillId="2" borderId="5" xfId="0" applyNumberFormat="1" applyFont="1" applyFill="1" applyBorder="1"/>
    <xf numFmtId="0" fontId="4" fillId="0" borderId="10" xfId="0" applyFont="1" applyBorder="1"/>
    <xf numFmtId="0" fontId="4" fillId="0" borderId="11" xfId="0" applyFont="1" applyBorder="1"/>
    <xf numFmtId="0" fontId="5" fillId="0" borderId="12" xfId="0" applyFont="1" applyBorder="1"/>
    <xf numFmtId="1" fontId="4" fillId="0" borderId="1" xfId="0" applyNumberFormat="1" applyFont="1" applyBorder="1"/>
    <xf numFmtId="0" fontId="5" fillId="0" borderId="2" xfId="0" applyFont="1" applyBorder="1"/>
    <xf numFmtId="0" fontId="4" fillId="2" borderId="10" xfId="0" applyFont="1" applyFill="1" applyBorder="1"/>
    <xf numFmtId="0" fontId="4" fillId="2" borderId="11" xfId="0" applyFont="1" applyFill="1" applyBorder="1"/>
    <xf numFmtId="3" fontId="3" fillId="2" borderId="10" xfId="0" applyNumberFormat="1" applyFont="1" applyFill="1" applyBorder="1"/>
    <xf numFmtId="3" fontId="3" fillId="2" borderId="11" xfId="0" applyNumberFormat="1" applyFont="1" applyFill="1" applyBorder="1"/>
    <xf numFmtId="3" fontId="3" fillId="2" borderId="12" xfId="0" applyNumberFormat="1" applyFont="1" applyFill="1" applyBorder="1"/>
    <xf numFmtId="10" fontId="3" fillId="2" borderId="4" xfId="0" applyNumberFormat="1" applyFont="1" applyFill="1" applyBorder="1"/>
    <xf numFmtId="3" fontId="3" fillId="0" borderId="0" xfId="0" applyNumberFormat="1" applyFont="1" applyFill="1" applyBorder="1"/>
    <xf numFmtId="10" fontId="3" fillId="2" borderId="6" xfId="0" applyNumberFormat="1" applyFont="1" applyFill="1" applyBorder="1"/>
    <xf numFmtId="1" fontId="4" fillId="0" borderId="0" xfId="0" applyNumberFormat="1" applyFont="1" applyBorder="1"/>
    <xf numFmtId="2" fontId="4" fillId="0" borderId="0" xfId="0" applyNumberFormat="1" applyFont="1" applyBorder="1"/>
    <xf numFmtId="0" fontId="3" fillId="2" borderId="8" xfId="0" applyFont="1" applyFill="1" applyBorder="1"/>
    <xf numFmtId="0" fontId="4" fillId="0" borderId="5" xfId="0" applyFont="1" applyBorder="1"/>
    <xf numFmtId="0" fontId="3" fillId="2" borderId="7" xfId="0" applyFont="1" applyFill="1" applyBorder="1"/>
    <xf numFmtId="2" fontId="3" fillId="0" borderId="0" xfId="0" applyNumberFormat="1" applyFont="1" applyFill="1" applyBorder="1"/>
    <xf numFmtId="1" fontId="4" fillId="0" borderId="11" xfId="0" applyNumberFormat="1" applyFont="1" applyBorder="1"/>
    <xf numFmtId="0" fontId="5" fillId="0" borderId="0" xfId="0" applyFont="1" applyBorder="1"/>
    <xf numFmtId="0" fontId="5" fillId="0" borderId="5" xfId="0" applyFont="1" applyFill="1" applyBorder="1"/>
    <xf numFmtId="165" fontId="3" fillId="2" borderId="8" xfId="0" applyNumberFormat="1" applyFont="1" applyFill="1" applyBorder="1"/>
    <xf numFmtId="0" fontId="4" fillId="0" borderId="0" xfId="0" applyFont="1" applyFill="1" applyBorder="1"/>
    <xf numFmtId="3" fontId="3" fillId="2" borderId="4" xfId="0" applyNumberFormat="1" applyFont="1" applyFill="1" applyBorder="1" applyProtection="1">
      <protection locked="0"/>
    </xf>
    <xf numFmtId="0" fontId="4" fillId="0" borderId="9" xfId="0" applyFont="1" applyBorder="1"/>
    <xf numFmtId="0" fontId="4" fillId="0" borderId="12" xfId="0" applyFont="1" applyBorder="1"/>
    <xf numFmtId="0" fontId="3" fillId="0" borderId="9" xfId="0" applyFont="1" applyFill="1" applyBorder="1"/>
    <xf numFmtId="0" fontId="3" fillId="0" borderId="13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/>
    <xf numFmtId="0" fontId="4" fillId="0" borderId="3" xfId="0" applyFont="1" applyFill="1" applyBorder="1"/>
    <xf numFmtId="1" fontId="4" fillId="0" borderId="0" xfId="0" applyNumberFormat="1" applyFont="1"/>
    <xf numFmtId="0" fontId="3" fillId="0" borderId="1" xfId="0" applyFont="1" applyBorder="1" applyAlignment="1">
      <alignment vertical="center" wrapText="1"/>
    </xf>
    <xf numFmtId="0" fontId="4" fillId="3" borderId="9" xfId="0" applyFont="1" applyFill="1" applyBorder="1"/>
    <xf numFmtId="0" fontId="4" fillId="3" borderId="1" xfId="0" applyFont="1" applyFill="1" applyBorder="1"/>
    <xf numFmtId="0" fontId="4" fillId="3" borderId="2" xfId="0" applyFont="1" applyFill="1" applyBorder="1"/>
    <xf numFmtId="3" fontId="3" fillId="3" borderId="6" xfId="0" applyNumberFormat="1" applyFont="1" applyFill="1" applyBorder="1"/>
    <xf numFmtId="0" fontId="4" fillId="3" borderId="3" xfId="0" applyFont="1" applyFill="1" applyBorder="1"/>
    <xf numFmtId="0" fontId="4" fillId="3" borderId="0" xfId="0" applyFont="1" applyFill="1" applyBorder="1"/>
    <xf numFmtId="0" fontId="4" fillId="3" borderId="5" xfId="0" applyFont="1" applyFill="1" applyBorder="1"/>
    <xf numFmtId="3" fontId="3" fillId="3" borderId="7" xfId="0" applyNumberFormat="1" applyFont="1" applyFill="1" applyBorder="1"/>
    <xf numFmtId="0" fontId="4" fillId="3" borderId="10" xfId="0" applyFont="1" applyFill="1" applyBorder="1"/>
    <xf numFmtId="0" fontId="4" fillId="3" borderId="11" xfId="0" applyFont="1" applyFill="1" applyBorder="1"/>
    <xf numFmtId="0" fontId="4" fillId="3" borderId="12" xfId="0" applyFont="1" applyFill="1" applyBorder="1"/>
    <xf numFmtId="3" fontId="3" fillId="3" borderId="8" xfId="0" applyNumberFormat="1" applyFont="1" applyFill="1" applyBorder="1"/>
    <xf numFmtId="3" fontId="3" fillId="4" borderId="6" xfId="0" applyNumberFormat="1" applyFont="1" applyFill="1" applyBorder="1"/>
    <xf numFmtId="3" fontId="3" fillId="4" borderId="7" xfId="0" applyNumberFormat="1" applyFont="1" applyFill="1" applyBorder="1"/>
    <xf numFmtId="3" fontId="3" fillId="4" borderId="8" xfId="0" applyNumberFormat="1" applyFont="1" applyFill="1" applyBorder="1"/>
    <xf numFmtId="0" fontId="3" fillId="0" borderId="0" xfId="0" applyFont="1" applyFill="1" applyBorder="1" applyAlignment="1">
      <alignment horizontal="center" vertical="center" wrapText="1"/>
    </xf>
    <xf numFmtId="0" fontId="4" fillId="0" borderId="14" xfId="0" applyFont="1" applyBorder="1"/>
    <xf numFmtId="0" fontId="4" fillId="0" borderId="0" xfId="0" applyFont="1" applyAlignment="1">
      <alignment horizontal="center"/>
    </xf>
    <xf numFmtId="1" fontId="3" fillId="0" borderId="0" xfId="0" applyNumberFormat="1" applyFont="1" applyBorder="1" applyAlignment="1">
      <alignment vertical="center"/>
    </xf>
    <xf numFmtId="0" fontId="4" fillId="0" borderId="15" xfId="0" applyFont="1" applyBorder="1"/>
    <xf numFmtId="0" fontId="3" fillId="0" borderId="0" xfId="0" applyFont="1" applyBorder="1" applyAlignment="1">
      <alignment vertical="center" wrapText="1"/>
    </xf>
    <xf numFmtId="0" fontId="3" fillId="0" borderId="0" xfId="0" applyFont="1" applyBorder="1"/>
    <xf numFmtId="168" fontId="3" fillId="0" borderId="0" xfId="0" applyNumberFormat="1" applyFont="1"/>
    <xf numFmtId="0" fontId="3" fillId="0" borderId="0" xfId="0" applyFont="1" applyFill="1" applyBorder="1" applyAlignment="1">
      <alignment horizontal="center"/>
    </xf>
    <xf numFmtId="0" fontId="3" fillId="0" borderId="16" xfId="0" applyFont="1" applyBorder="1"/>
    <xf numFmtId="0" fontId="3" fillId="0" borderId="16" xfId="0" applyFont="1" applyFill="1" applyBorder="1"/>
    <xf numFmtId="168" fontId="3" fillId="0" borderId="16" xfId="0" applyNumberFormat="1" applyFont="1" applyBorder="1"/>
    <xf numFmtId="0" fontId="3" fillId="0" borderId="16" xfId="0" applyFont="1" applyFill="1" applyBorder="1" applyAlignment="1">
      <alignment horizontal="center"/>
    </xf>
    <xf numFmtId="166" fontId="4" fillId="0" borderId="0" xfId="0" applyNumberFormat="1" applyFont="1" applyBorder="1"/>
    <xf numFmtId="166" fontId="4" fillId="0" borderId="0" xfId="0" applyNumberFormat="1" applyFont="1"/>
    <xf numFmtId="3" fontId="3" fillId="3" borderId="4" xfId="0" applyNumberFormat="1" applyFont="1" applyFill="1" applyBorder="1"/>
    <xf numFmtId="0" fontId="1" fillId="0" borderId="0" xfId="0" applyFont="1"/>
    <xf numFmtId="0" fontId="6" fillId="0" borderId="3" xfId="0" applyFont="1" applyFill="1" applyBorder="1"/>
    <xf numFmtId="165" fontId="3" fillId="0" borderId="0" xfId="0" applyNumberFormat="1" applyFont="1" applyFill="1" applyBorder="1"/>
    <xf numFmtId="165" fontId="4" fillId="0" borderId="0" xfId="0" applyNumberFormat="1" applyFont="1" applyFill="1" applyBorder="1"/>
    <xf numFmtId="3" fontId="3" fillId="4" borderId="4" xfId="0" applyNumberFormat="1" applyFont="1" applyFill="1" applyBorder="1"/>
    <xf numFmtId="0" fontId="3" fillId="4" borderId="4" xfId="0" applyFont="1" applyFill="1" applyBorder="1"/>
    <xf numFmtId="0" fontId="7" fillId="4" borderId="4" xfId="0" applyFont="1" applyFill="1" applyBorder="1"/>
    <xf numFmtId="164" fontId="3" fillId="4" borderId="6" xfId="0" applyNumberFormat="1" applyFont="1" applyFill="1" applyBorder="1"/>
    <xf numFmtId="2" fontId="3" fillId="4" borderId="4" xfId="0" applyNumberFormat="1" applyFont="1" applyFill="1" applyBorder="1"/>
    <xf numFmtId="1" fontId="3" fillId="4" borderId="4" xfId="0" applyNumberFormat="1" applyFont="1" applyFill="1" applyBorder="1"/>
    <xf numFmtId="2" fontId="3" fillId="4" borderId="17" xfId="0" applyNumberFormat="1" applyFont="1" applyFill="1" applyBorder="1"/>
    <xf numFmtId="3" fontId="3" fillId="4" borderId="17" xfId="0" applyNumberFormat="1" applyFont="1" applyFill="1" applyBorder="1"/>
    <xf numFmtId="10" fontId="3" fillId="4" borderId="18" xfId="0" applyNumberFormat="1" applyFont="1" applyFill="1" applyBorder="1"/>
    <xf numFmtId="3" fontId="6" fillId="4" borderId="4" xfId="0" applyNumberFormat="1" applyFont="1" applyFill="1" applyBorder="1"/>
    <xf numFmtId="165" fontId="6" fillId="4" borderId="19" xfId="0" applyNumberFormat="1" applyFont="1" applyFill="1" applyBorder="1"/>
    <xf numFmtId="2" fontId="4" fillId="4" borderId="20" xfId="0" applyNumberFormat="1" applyFont="1" applyFill="1" applyBorder="1"/>
    <xf numFmtId="3" fontId="4" fillId="4" borderId="7" xfId="0" applyNumberFormat="1" applyFont="1" applyFill="1" applyBorder="1"/>
    <xf numFmtId="3" fontId="4" fillId="4" borderId="20" xfId="0" applyNumberFormat="1" applyFont="1" applyFill="1" applyBorder="1"/>
    <xf numFmtId="165" fontId="4" fillId="4" borderId="21" xfId="0" applyNumberFormat="1" applyFont="1" applyFill="1" applyBorder="1"/>
    <xf numFmtId="4" fontId="3" fillId="4" borderId="6" xfId="0" applyNumberFormat="1" applyFont="1" applyFill="1" applyBorder="1"/>
    <xf numFmtId="2" fontId="3" fillId="4" borderId="6" xfId="0" applyNumberFormat="1" applyFont="1" applyFill="1" applyBorder="1"/>
    <xf numFmtId="1" fontId="3" fillId="4" borderId="7" xfId="0" applyNumberFormat="1" applyFont="1" applyFill="1" applyBorder="1"/>
    <xf numFmtId="1" fontId="3" fillId="4" borderId="8" xfId="0" applyNumberFormat="1" applyFont="1" applyFill="1" applyBorder="1"/>
    <xf numFmtId="2" fontId="3" fillId="4" borderId="8" xfId="0" applyNumberFormat="1" applyFont="1" applyFill="1" applyBorder="1"/>
    <xf numFmtId="2" fontId="3" fillId="4" borderId="7" xfId="0" applyNumberFormat="1" applyFont="1" applyFill="1" applyBorder="1"/>
    <xf numFmtId="0" fontId="3" fillId="0" borderId="1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1" xfId="0" applyFont="1" applyBorder="1"/>
    <xf numFmtId="0" fontId="3" fillId="0" borderId="13" xfId="0" applyFont="1" applyFill="1" applyBorder="1"/>
    <xf numFmtId="0" fontId="6" fillId="0" borderId="15" xfId="0" applyFont="1" applyFill="1" applyBorder="1"/>
    <xf numFmtId="0" fontId="4" fillId="0" borderId="15" xfId="0" applyFont="1" applyFill="1" applyBorder="1"/>
    <xf numFmtId="0" fontId="4" fillId="0" borderId="15" xfId="0" quotePrefix="1" applyFont="1" applyBorder="1" applyAlignment="1">
      <alignment horizontal="left"/>
    </xf>
    <xf numFmtId="167" fontId="3" fillId="4" borderId="8" xfId="0" applyNumberFormat="1" applyFont="1" applyFill="1" applyBorder="1"/>
    <xf numFmtId="3" fontId="4" fillId="4" borderId="4" xfId="0" applyNumberFormat="1" applyFont="1" applyFill="1" applyBorder="1"/>
    <xf numFmtId="3" fontId="3" fillId="4" borderId="18" xfId="0" applyNumberFormat="1" applyFont="1" applyFill="1" applyBorder="1"/>
    <xf numFmtId="3" fontId="4" fillId="4" borderId="21" xfId="0" applyNumberFormat="1" applyFont="1" applyFill="1" applyBorder="1"/>
    <xf numFmtId="2" fontId="4" fillId="4" borderId="22" xfId="0" applyNumberFormat="1" applyFont="1" applyFill="1" applyBorder="1"/>
    <xf numFmtId="165" fontId="4" fillId="4" borderId="19" xfId="0" applyNumberFormat="1" applyFont="1" applyFill="1" applyBorder="1"/>
    <xf numFmtId="3" fontId="4" fillId="4" borderId="23" xfId="0" applyNumberFormat="1" applyFont="1" applyFill="1" applyBorder="1"/>
    <xf numFmtId="2" fontId="3" fillId="5" borderId="7" xfId="0" applyNumberFormat="1" applyFont="1" applyFill="1" applyBorder="1"/>
    <xf numFmtId="0" fontId="6" fillId="0" borderId="9" xfId="0" applyFont="1" applyBorder="1"/>
    <xf numFmtId="0" fontId="6" fillId="0" borderId="10" xfId="0" applyFont="1" applyBorder="1"/>
    <xf numFmtId="0" fontId="6" fillId="0" borderId="1" xfId="0" applyFont="1" applyBorder="1"/>
    <xf numFmtId="0" fontId="4" fillId="0" borderId="4" xfId="0" applyFont="1" applyBorder="1"/>
    <xf numFmtId="0" fontId="4" fillId="5" borderId="3" xfId="0" applyFont="1" applyFill="1" applyBorder="1"/>
    <xf numFmtId="0" fontId="4" fillId="5" borderId="10" xfId="0" applyFont="1" applyFill="1" applyBorder="1"/>
    <xf numFmtId="0" fontId="3" fillId="5" borderId="0" xfId="0" applyFont="1" applyFill="1" applyBorder="1"/>
    <xf numFmtId="0" fontId="3" fillId="5" borderId="5" xfId="0" applyFont="1" applyFill="1" applyBorder="1"/>
    <xf numFmtId="0" fontId="3" fillId="5" borderId="11" xfId="0" applyFont="1" applyFill="1" applyBorder="1"/>
    <xf numFmtId="0" fontId="3" fillId="4" borderId="6" xfId="0" applyFont="1" applyFill="1" applyBorder="1"/>
    <xf numFmtId="0" fontId="4" fillId="0" borderId="12" xfId="0" applyFont="1" applyBorder="1" applyAlignment="1">
      <alignment horizontal="center"/>
    </xf>
    <xf numFmtId="0" fontId="4" fillId="0" borderId="6" xfId="0" applyFont="1" applyBorder="1"/>
    <xf numFmtId="0" fontId="4" fillId="0" borderId="6" xfId="0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1" fontId="3" fillId="4" borderId="0" xfId="0" applyNumberFormat="1" applyFont="1" applyFill="1" applyBorder="1"/>
    <xf numFmtId="1" fontId="3" fillId="0" borderId="0" xfId="0" applyNumberFormat="1" applyFont="1" applyFill="1" applyBorder="1"/>
    <xf numFmtId="0" fontId="6" fillId="0" borderId="13" xfId="0" applyFont="1" applyBorder="1" applyAlignment="1">
      <alignment horizontal="right"/>
    </xf>
    <xf numFmtId="0" fontId="6" fillId="0" borderId="14" xfId="0" applyFont="1" applyBorder="1" applyAlignment="1">
      <alignment horizontal="center"/>
    </xf>
    <xf numFmtId="0" fontId="4" fillId="0" borderId="4" xfId="0" applyFont="1" applyBorder="1" applyAlignment="1">
      <alignment horizontal="right"/>
    </xf>
    <xf numFmtId="0" fontId="6" fillId="0" borderId="1" xfId="0" applyFont="1" applyFill="1" applyBorder="1"/>
    <xf numFmtId="10" fontId="6" fillId="4" borderId="19" xfId="0" applyNumberFormat="1" applyFont="1" applyFill="1" applyBorder="1"/>
    <xf numFmtId="3" fontId="3" fillId="4" borderId="22" xfId="0" applyNumberFormat="1" applyFont="1" applyFill="1" applyBorder="1"/>
    <xf numFmtId="3" fontId="3" fillId="4" borderId="23" xfId="0" applyNumberFormat="1" applyFont="1" applyFill="1" applyBorder="1"/>
    <xf numFmtId="3" fontId="6" fillId="4" borderId="23" xfId="0" applyNumberFormat="1" applyFont="1" applyFill="1" applyBorder="1"/>
    <xf numFmtId="167" fontId="6" fillId="4" borderId="22" xfId="0" applyNumberFormat="1" applyFont="1" applyFill="1" applyBorder="1"/>
    <xf numFmtId="2" fontId="3" fillId="4" borderId="24" xfId="0" applyNumberFormat="1" applyFont="1" applyFill="1" applyBorder="1"/>
    <xf numFmtId="3" fontId="3" fillId="4" borderId="12" xfId="0" applyNumberFormat="1" applyFont="1" applyFill="1" applyBorder="1"/>
    <xf numFmtId="10" fontId="3" fillId="4" borderId="25" xfId="0" applyNumberFormat="1" applyFont="1" applyFill="1" applyBorder="1"/>
    <xf numFmtId="0" fontId="8" fillId="0" borderId="26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2" fontId="3" fillId="4" borderId="22" xfId="0" applyNumberFormat="1" applyFont="1" applyFill="1" applyBorder="1"/>
    <xf numFmtId="3" fontId="3" fillId="4" borderId="19" xfId="0" applyNumberFormat="1" applyFont="1" applyFill="1" applyBorder="1"/>
    <xf numFmtId="165" fontId="3" fillId="4" borderId="19" xfId="0" applyNumberFormat="1" applyFont="1" applyFill="1" applyBorder="1"/>
    <xf numFmtId="2" fontId="4" fillId="0" borderId="0" xfId="0" applyNumberFormat="1" applyFont="1"/>
    <xf numFmtId="0" fontId="4" fillId="0" borderId="0" xfId="0" applyFont="1" applyFill="1" applyBorder="1" applyAlignment="1">
      <alignment horizontal="left"/>
    </xf>
    <xf numFmtId="10" fontId="3" fillId="0" borderId="20" xfId="0" applyNumberFormat="1" applyFont="1" applyFill="1" applyBorder="1"/>
    <xf numFmtId="165" fontId="3" fillId="0" borderId="20" xfId="0" applyNumberFormat="1" applyFont="1" applyFill="1" applyBorder="1"/>
    <xf numFmtId="0" fontId="5" fillId="0" borderId="7" xfId="0" applyFont="1" applyFill="1" applyBorder="1"/>
    <xf numFmtId="3" fontId="3" fillId="5" borderId="7" xfId="0" applyNumberFormat="1" applyFont="1" applyFill="1" applyBorder="1"/>
    <xf numFmtId="164" fontId="4" fillId="4" borderId="22" xfId="0" applyNumberFormat="1" applyFont="1" applyFill="1" applyBorder="1"/>
    <xf numFmtId="0" fontId="9" fillId="0" borderId="0" xfId="0" applyFont="1"/>
    <xf numFmtId="0" fontId="3" fillId="2" borderId="4" xfId="0" applyFont="1" applyFill="1" applyBorder="1" applyProtection="1">
      <protection locked="0"/>
    </xf>
    <xf numFmtId="0" fontId="4" fillId="0" borderId="0" xfId="0" applyFont="1" applyBorder="1" applyAlignment="1">
      <alignment horizontal="center"/>
    </xf>
    <xf numFmtId="3" fontId="4" fillId="0" borderId="0" xfId="0" applyNumberFormat="1" applyFont="1" applyBorder="1"/>
    <xf numFmtId="2" fontId="4" fillId="0" borderId="5" xfId="0" applyNumberFormat="1" applyFont="1" applyBorder="1"/>
    <xf numFmtId="0" fontId="4" fillId="0" borderId="1" xfId="0" applyFont="1" applyBorder="1" applyAlignment="1">
      <alignment horizontal="center"/>
    </xf>
    <xf numFmtId="1" fontId="3" fillId="2" borderId="4" xfId="0" applyNumberFormat="1" applyFont="1" applyFill="1" applyBorder="1" applyProtection="1">
      <protection locked="0"/>
    </xf>
    <xf numFmtId="0" fontId="10" fillId="0" borderId="0" xfId="0" applyFont="1"/>
    <xf numFmtId="1" fontId="9" fillId="0" borderId="0" xfId="0" applyNumberFormat="1" applyFont="1"/>
    <xf numFmtId="165" fontId="3" fillId="2" borderId="7" xfId="0" applyNumberFormat="1" applyFont="1" applyFill="1" applyBorder="1" applyProtection="1">
      <protection locked="0"/>
    </xf>
    <xf numFmtId="0" fontId="4" fillId="2" borderId="2" xfId="0" applyFont="1" applyFill="1" applyBorder="1" applyProtection="1">
      <protection locked="0"/>
    </xf>
    <xf numFmtId="3" fontId="3" fillId="2" borderId="9" xfId="0" applyNumberFormat="1" applyFont="1" applyFill="1" applyBorder="1" applyProtection="1">
      <protection locked="0"/>
    </xf>
    <xf numFmtId="3" fontId="3" fillId="2" borderId="1" xfId="0" applyNumberFormat="1" applyFont="1" applyFill="1" applyBorder="1" applyProtection="1">
      <protection locked="0"/>
    </xf>
    <xf numFmtId="3" fontId="3" fillId="2" borderId="2" xfId="0" applyNumberFormat="1" applyFont="1" applyFill="1" applyBorder="1" applyProtection="1">
      <protection locked="0"/>
    </xf>
    <xf numFmtId="0" fontId="4" fillId="2" borderId="3" xfId="0" applyFont="1" applyFill="1" applyBorder="1" applyProtection="1">
      <protection locked="0"/>
    </xf>
    <xf numFmtId="0" fontId="4" fillId="2" borderId="5" xfId="0" applyFont="1" applyFill="1" applyBorder="1" applyProtection="1">
      <protection locked="0"/>
    </xf>
    <xf numFmtId="3" fontId="3" fillId="2" borderId="3" xfId="0" applyNumberFormat="1" applyFont="1" applyFill="1" applyBorder="1" applyProtection="1">
      <protection locked="0"/>
    </xf>
    <xf numFmtId="3" fontId="3" fillId="2" borderId="0" xfId="0" applyNumberFormat="1" applyFont="1" applyFill="1" applyBorder="1" applyProtection="1">
      <protection locked="0"/>
    </xf>
    <xf numFmtId="3" fontId="3" fillId="2" borderId="5" xfId="0" applyNumberFormat="1" applyFont="1" applyFill="1" applyBorder="1" applyProtection="1">
      <protection locked="0"/>
    </xf>
    <xf numFmtId="0" fontId="4" fillId="2" borderId="10" xfId="0" applyFont="1" applyFill="1" applyBorder="1" applyProtection="1">
      <protection locked="0"/>
    </xf>
    <xf numFmtId="0" fontId="4" fillId="2" borderId="12" xfId="0" applyFont="1" applyFill="1" applyBorder="1" applyProtection="1">
      <protection locked="0"/>
    </xf>
    <xf numFmtId="3" fontId="3" fillId="2" borderId="10" xfId="0" applyNumberFormat="1" applyFont="1" applyFill="1" applyBorder="1" applyProtection="1">
      <protection locked="0"/>
    </xf>
    <xf numFmtId="3" fontId="3" fillId="2" borderId="11" xfId="0" applyNumberFormat="1" applyFont="1" applyFill="1" applyBorder="1" applyProtection="1">
      <protection locked="0"/>
    </xf>
    <xf numFmtId="10" fontId="3" fillId="2" borderId="4" xfId="0" applyNumberFormat="1" applyFont="1" applyFill="1" applyBorder="1" applyProtection="1">
      <protection locked="0"/>
    </xf>
    <xf numFmtId="10" fontId="3" fillId="2" borderId="6" xfId="0" applyNumberFormat="1" applyFont="1" applyFill="1" applyBorder="1" applyProtection="1">
      <protection locked="0"/>
    </xf>
    <xf numFmtId="0" fontId="3" fillId="2" borderId="8" xfId="0" applyFont="1" applyFill="1" applyBorder="1" applyProtection="1">
      <protection locked="0"/>
    </xf>
    <xf numFmtId="0" fontId="3" fillId="2" borderId="7" xfId="0" applyFont="1" applyFill="1" applyBorder="1" applyProtection="1">
      <protection locked="0"/>
    </xf>
    <xf numFmtId="0" fontId="5" fillId="0" borderId="1" xfId="0" applyFont="1" applyBorder="1"/>
    <xf numFmtId="0" fontId="3" fillId="0" borderId="1" xfId="0" applyFont="1" applyBorder="1"/>
    <xf numFmtId="0" fontId="4" fillId="0" borderId="10" xfId="0" applyFont="1" applyFill="1" applyBorder="1"/>
    <xf numFmtId="0" fontId="4" fillId="0" borderId="11" xfId="0" applyFont="1" applyFill="1" applyBorder="1"/>
    <xf numFmtId="0" fontId="4" fillId="0" borderId="12" xfId="0" applyFont="1" applyFill="1" applyBorder="1"/>
    <xf numFmtId="0" fontId="3" fillId="0" borderId="1" xfId="0" applyFont="1" applyBorder="1" applyAlignment="1">
      <alignment wrapText="1"/>
    </xf>
    <xf numFmtId="0" fontId="3" fillId="0" borderId="20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4" fillId="3" borderId="9" xfId="0" applyFont="1" applyFill="1" applyBorder="1" applyProtection="1">
      <protection locked="0"/>
    </xf>
    <xf numFmtId="0" fontId="4" fillId="3" borderId="1" xfId="0" applyFont="1" applyFill="1" applyBorder="1" applyProtection="1">
      <protection locked="0"/>
    </xf>
    <xf numFmtId="0" fontId="4" fillId="3" borderId="2" xfId="0" applyFont="1" applyFill="1" applyBorder="1" applyProtection="1">
      <protection locked="0"/>
    </xf>
    <xf numFmtId="3" fontId="3" fillId="3" borderId="6" xfId="0" applyNumberFormat="1" applyFont="1" applyFill="1" applyBorder="1" applyProtection="1">
      <protection locked="0"/>
    </xf>
    <xf numFmtId="0" fontId="4" fillId="3" borderId="3" xfId="0" applyFont="1" applyFill="1" applyBorder="1" applyProtection="1">
      <protection locked="0"/>
    </xf>
    <xf numFmtId="0" fontId="4" fillId="3" borderId="0" xfId="0" applyFont="1" applyFill="1" applyBorder="1" applyProtection="1">
      <protection locked="0"/>
    </xf>
    <xf numFmtId="0" fontId="4" fillId="3" borderId="5" xfId="0" applyFont="1" applyFill="1" applyBorder="1" applyProtection="1">
      <protection locked="0"/>
    </xf>
    <xf numFmtId="3" fontId="3" fillId="3" borderId="7" xfId="0" applyNumberFormat="1" applyFont="1" applyFill="1" applyBorder="1" applyProtection="1">
      <protection locked="0"/>
    </xf>
    <xf numFmtId="0" fontId="4" fillId="3" borderId="10" xfId="0" applyFont="1" applyFill="1" applyBorder="1" applyProtection="1">
      <protection locked="0"/>
    </xf>
    <xf numFmtId="0" fontId="4" fillId="3" borderId="11" xfId="0" applyFont="1" applyFill="1" applyBorder="1" applyProtection="1">
      <protection locked="0"/>
    </xf>
    <xf numFmtId="0" fontId="4" fillId="3" borderId="12" xfId="0" applyFont="1" applyFill="1" applyBorder="1" applyProtection="1">
      <protection locked="0"/>
    </xf>
    <xf numFmtId="3" fontId="3" fillId="3" borderId="8" xfId="0" applyNumberFormat="1" applyFont="1" applyFill="1" applyBorder="1" applyProtection="1">
      <protection locked="0"/>
    </xf>
    <xf numFmtId="3" fontId="3" fillId="3" borderId="4" xfId="0" applyNumberFormat="1" applyFont="1" applyFill="1" applyBorder="1" applyProtection="1">
      <protection locked="0"/>
    </xf>
    <xf numFmtId="0" fontId="3" fillId="0" borderId="15" xfId="0" applyFont="1" applyFill="1" applyBorder="1"/>
    <xf numFmtId="3" fontId="4" fillId="4" borderId="0" xfId="0" applyNumberFormat="1" applyFont="1" applyFill="1" applyBorder="1"/>
    <xf numFmtId="3" fontId="3" fillId="0" borderId="1" xfId="0" applyNumberFormat="1" applyFont="1" applyFill="1" applyBorder="1"/>
    <xf numFmtId="0" fontId="4" fillId="0" borderId="28" xfId="0" applyFont="1" applyBorder="1"/>
    <xf numFmtId="0" fontId="4" fillId="0" borderId="23" xfId="0" applyFont="1" applyBorder="1"/>
    <xf numFmtId="2" fontId="4" fillId="4" borderId="17" xfId="0" applyNumberFormat="1" applyFont="1" applyFill="1" applyBorder="1"/>
    <xf numFmtId="3" fontId="4" fillId="4" borderId="18" xfId="0" applyNumberFormat="1" applyFont="1" applyFill="1" applyBorder="1"/>
    <xf numFmtId="0" fontId="4" fillId="0" borderId="7" xfId="0" applyFont="1" applyBorder="1"/>
    <xf numFmtId="164" fontId="3" fillId="4" borderId="24" xfId="0" applyNumberFormat="1" applyFont="1" applyFill="1" applyBorder="1"/>
    <xf numFmtId="1" fontId="3" fillId="4" borderId="25" xfId="0" applyNumberFormat="1" applyFont="1" applyFill="1" applyBorder="1"/>
    <xf numFmtId="165" fontId="3" fillId="4" borderId="21" xfId="0" applyNumberFormat="1" applyFont="1" applyFill="1" applyBorder="1"/>
    <xf numFmtId="0" fontId="5" fillId="0" borderId="3" xfId="0" applyFont="1" applyFill="1" applyBorder="1"/>
    <xf numFmtId="10" fontId="3" fillId="5" borderId="10" xfId="0" applyNumberFormat="1" applyFont="1" applyFill="1" applyBorder="1"/>
    <xf numFmtId="10" fontId="3" fillId="5" borderId="11" xfId="0" applyNumberFormat="1" applyFont="1" applyFill="1" applyBorder="1"/>
    <xf numFmtId="10" fontId="3" fillId="5" borderId="12" xfId="0" applyNumberFormat="1" applyFont="1" applyFill="1" applyBorder="1"/>
    <xf numFmtId="2" fontId="3" fillId="5" borderId="9" xfId="0" applyNumberFormat="1" applyFont="1" applyFill="1" applyBorder="1"/>
    <xf numFmtId="0" fontId="3" fillId="5" borderId="3" xfId="0" applyFont="1" applyFill="1" applyBorder="1"/>
    <xf numFmtId="164" fontId="3" fillId="5" borderId="3" xfId="0" applyNumberFormat="1" applyFont="1" applyFill="1" applyBorder="1"/>
    <xf numFmtId="164" fontId="3" fillId="5" borderId="0" xfId="0" applyNumberFormat="1" applyFont="1" applyFill="1" applyBorder="1"/>
    <xf numFmtId="164" fontId="3" fillId="5" borderId="5" xfId="0" applyNumberFormat="1" applyFont="1" applyFill="1" applyBorder="1"/>
    <xf numFmtId="0" fontId="6" fillId="0" borderId="9" xfId="0" applyFont="1" applyFill="1" applyBorder="1"/>
    <xf numFmtId="0" fontId="5" fillId="0" borderId="3" xfId="0" applyFont="1" applyBorder="1"/>
    <xf numFmtId="2" fontId="3" fillId="4" borderId="11" xfId="0" applyNumberFormat="1" applyFont="1" applyFill="1" applyBorder="1"/>
    <xf numFmtId="2" fontId="3" fillId="4" borderId="12" xfId="0" applyNumberFormat="1" applyFont="1" applyFill="1" applyBorder="1"/>
    <xf numFmtId="3" fontId="3" fillId="4" borderId="20" xfId="0" applyNumberFormat="1" applyFont="1" applyFill="1" applyBorder="1"/>
    <xf numFmtId="0" fontId="3" fillId="0" borderId="4" xfId="0" applyFont="1" applyBorder="1" applyAlignment="1">
      <alignment horizontal="center" vertical="top" wrapText="1"/>
    </xf>
    <xf numFmtId="0" fontId="4" fillId="0" borderId="4" xfId="0" applyFont="1" applyFill="1" applyBorder="1" applyAlignment="1">
      <alignment horizontal="left"/>
    </xf>
    <xf numFmtId="0" fontId="4" fillId="0" borderId="4" xfId="0" applyFont="1" applyFill="1" applyBorder="1"/>
    <xf numFmtId="2" fontId="4" fillId="0" borderId="4" xfId="0" applyNumberFormat="1" applyFont="1" applyBorder="1"/>
    <xf numFmtId="3" fontId="4" fillId="0" borderId="0" xfId="0" applyNumberFormat="1" applyFont="1"/>
    <xf numFmtId="3" fontId="3" fillId="0" borderId="0" xfId="0" applyNumberFormat="1" applyFont="1" applyBorder="1"/>
    <xf numFmtId="2" fontId="4" fillId="0" borderId="29" xfId="0" applyNumberFormat="1" applyFont="1" applyBorder="1"/>
    <xf numFmtId="3" fontId="3" fillId="0" borderId="29" xfId="0" applyNumberFormat="1" applyFont="1" applyBorder="1"/>
    <xf numFmtId="3" fontId="4" fillId="0" borderId="29" xfId="0" applyNumberFormat="1" applyFont="1" applyBorder="1"/>
    <xf numFmtId="3" fontId="4" fillId="0" borderId="23" xfId="0" applyNumberFormat="1" applyFont="1" applyBorder="1"/>
    <xf numFmtId="2" fontId="3" fillId="0" borderId="29" xfId="0" applyNumberFormat="1" applyFont="1" applyFill="1" applyBorder="1"/>
    <xf numFmtId="3" fontId="3" fillId="0" borderId="29" xfId="0" applyNumberFormat="1" applyFont="1" applyFill="1" applyBorder="1"/>
    <xf numFmtId="3" fontId="3" fillId="0" borderId="23" xfId="0" applyNumberFormat="1" applyFont="1" applyFill="1" applyBorder="1"/>
    <xf numFmtId="3" fontId="3" fillId="0" borderId="2" xfId="0" applyNumberFormat="1" applyFont="1" applyFill="1" applyBorder="1"/>
    <xf numFmtId="0" fontId="4" fillId="0" borderId="7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1" fontId="3" fillId="4" borderId="28" xfId="0" applyNumberFormat="1" applyFont="1" applyFill="1" applyBorder="1"/>
    <xf numFmtId="1" fontId="3" fillId="4" borderId="29" xfId="0" applyNumberFormat="1" applyFont="1" applyFill="1" applyBorder="1"/>
    <xf numFmtId="1" fontId="3" fillId="4" borderId="23" xfId="0" applyNumberFormat="1" applyFont="1" applyFill="1" applyBorder="1"/>
    <xf numFmtId="3" fontId="3" fillId="4" borderId="9" xfId="0" applyNumberFormat="1" applyFont="1" applyFill="1" applyBorder="1"/>
    <xf numFmtId="3" fontId="3" fillId="4" borderId="1" xfId="0" applyNumberFormat="1" applyFont="1" applyFill="1" applyBorder="1"/>
    <xf numFmtId="3" fontId="3" fillId="4" borderId="28" xfId="0" applyNumberFormat="1" applyFont="1" applyFill="1" applyBorder="1"/>
    <xf numFmtId="3" fontId="3" fillId="4" borderId="29" xfId="0" applyNumberFormat="1" applyFont="1" applyFill="1" applyBorder="1"/>
    <xf numFmtId="3" fontId="3" fillId="4" borderId="3" xfId="0" applyNumberFormat="1" applyFont="1" applyFill="1" applyBorder="1"/>
    <xf numFmtId="3" fontId="3" fillId="4" borderId="0" xfId="0" applyNumberFormat="1" applyFont="1" applyFill="1" applyBorder="1"/>
    <xf numFmtId="3" fontId="4" fillId="4" borderId="5" xfId="0" applyNumberFormat="1" applyFont="1" applyFill="1" applyBorder="1"/>
    <xf numFmtId="2" fontId="3" fillId="4" borderId="28" xfId="0" applyNumberFormat="1" applyFont="1" applyFill="1" applyBorder="1"/>
    <xf numFmtId="2" fontId="3" fillId="4" borderId="29" xfId="0" applyNumberFormat="1" applyFont="1" applyFill="1" applyBorder="1"/>
    <xf numFmtId="2" fontId="3" fillId="4" borderId="23" xfId="0" applyNumberFormat="1" applyFont="1" applyFill="1" applyBorder="1"/>
    <xf numFmtId="3" fontId="3" fillId="4" borderId="2" xfId="0" applyNumberFormat="1" applyFont="1" applyFill="1" applyBorder="1"/>
    <xf numFmtId="3" fontId="3" fillId="4" borderId="10" xfId="0" applyNumberFormat="1" applyFont="1" applyFill="1" applyBorder="1"/>
    <xf numFmtId="3" fontId="3" fillId="4" borderId="11" xfId="0" applyNumberFormat="1" applyFont="1" applyFill="1" applyBorder="1"/>
    <xf numFmtId="0" fontId="6" fillId="0" borderId="28" xfId="0" applyFont="1" applyBorder="1"/>
    <xf numFmtId="0" fontId="6" fillId="0" borderId="2" xfId="0" applyFont="1" applyBorder="1"/>
    <xf numFmtId="0" fontId="6" fillId="0" borderId="28" xfId="0" applyFont="1" applyFill="1" applyBorder="1"/>
    <xf numFmtId="0" fontId="6" fillId="0" borderId="4" xfId="0" applyFont="1" applyBorder="1"/>
    <xf numFmtId="3" fontId="3" fillId="0" borderId="30" xfId="0" applyNumberFormat="1" applyFont="1" applyBorder="1" applyAlignment="1">
      <alignment vertical="center"/>
    </xf>
    <xf numFmtId="0" fontId="3" fillId="0" borderId="30" xfId="0" applyFont="1" applyBorder="1" applyAlignment="1">
      <alignment horizontal="center" vertical="center"/>
    </xf>
    <xf numFmtId="1" fontId="3" fillId="0" borderId="31" xfId="0" applyNumberFormat="1" applyFont="1" applyBorder="1" applyAlignment="1">
      <alignment horizontal="center" vertical="center"/>
    </xf>
    <xf numFmtId="0" fontId="4" fillId="0" borderId="32" xfId="0" applyFont="1" applyBorder="1"/>
    <xf numFmtId="3" fontId="3" fillId="0" borderId="33" xfId="0" applyNumberFormat="1" applyFont="1" applyBorder="1" applyAlignment="1">
      <alignment vertical="center"/>
    </xf>
    <xf numFmtId="0" fontId="3" fillId="0" borderId="33" xfId="0" applyFont="1" applyBorder="1" applyAlignment="1">
      <alignment horizontal="center" vertical="center"/>
    </xf>
    <xf numFmtId="1" fontId="3" fillId="0" borderId="34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top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39" xfId="0" applyFont="1" applyBorder="1" applyAlignment="1">
      <alignment vertical="center" wrapText="1"/>
    </xf>
    <xf numFmtId="0" fontId="3" fillId="0" borderId="40" xfId="0" applyFont="1" applyBorder="1" applyAlignment="1">
      <alignment vertical="center" wrapText="1"/>
    </xf>
    <xf numFmtId="168" fontId="3" fillId="0" borderId="41" xfId="0" applyNumberFormat="1" applyFont="1" applyBorder="1" applyAlignment="1">
      <alignment vertical="center"/>
    </xf>
    <xf numFmtId="168" fontId="3" fillId="0" borderId="42" xfId="0" applyNumberFormat="1" applyFont="1" applyBorder="1" applyAlignment="1">
      <alignment vertical="center"/>
    </xf>
    <xf numFmtId="0" fontId="4" fillId="0" borderId="13" xfId="0" applyFont="1" applyBorder="1"/>
    <xf numFmtId="0" fontId="4" fillId="0" borderId="43" xfId="0" applyFont="1" applyBorder="1"/>
    <xf numFmtId="0" fontId="4" fillId="0" borderId="0" xfId="0" applyFont="1" applyProtection="1"/>
    <xf numFmtId="0" fontId="4" fillId="0" borderId="9" xfId="0" applyFont="1" applyBorder="1" applyProtection="1"/>
    <xf numFmtId="0" fontId="4" fillId="0" borderId="1" xfId="0" applyFont="1" applyBorder="1" applyProtection="1"/>
    <xf numFmtId="0" fontId="4" fillId="0" borderId="6" xfId="0" applyFont="1" applyBorder="1" applyAlignment="1" applyProtection="1">
      <alignment horizontal="center"/>
    </xf>
    <xf numFmtId="0" fontId="4" fillId="0" borderId="2" xfId="0" applyFont="1" applyBorder="1" applyProtection="1"/>
    <xf numFmtId="0" fontId="3" fillId="0" borderId="3" xfId="0" applyFont="1" applyBorder="1" applyProtection="1"/>
    <xf numFmtId="0" fontId="4" fillId="0" borderId="0" xfId="0" applyFont="1" applyBorder="1" applyProtection="1"/>
    <xf numFmtId="0" fontId="4" fillId="0" borderId="8" xfId="0" applyFont="1" applyBorder="1" applyAlignment="1" applyProtection="1">
      <alignment horizontal="center"/>
    </xf>
    <xf numFmtId="0" fontId="4" fillId="0" borderId="5" xfId="0" applyFont="1" applyBorder="1" applyProtection="1"/>
    <xf numFmtId="0" fontId="4" fillId="0" borderId="3" xfId="0" applyFont="1" applyBorder="1" applyProtection="1"/>
    <xf numFmtId="0" fontId="11" fillId="0" borderId="0" xfId="0" applyFont="1" applyBorder="1" applyProtection="1"/>
    <xf numFmtId="0" fontId="4" fillId="0" borderId="10" xfId="0" applyFont="1" applyBorder="1" applyProtection="1"/>
    <xf numFmtId="0" fontId="4" fillId="0" borderId="11" xfId="0" applyFont="1" applyBorder="1" applyProtection="1"/>
    <xf numFmtId="0" fontId="4" fillId="0" borderId="12" xfId="0" applyFont="1" applyBorder="1" applyProtection="1"/>
    <xf numFmtId="0" fontId="4" fillId="0" borderId="0" xfId="0" applyFont="1" applyBorder="1" applyAlignment="1" applyProtection="1">
      <alignment horizontal="center"/>
    </xf>
    <xf numFmtId="0" fontId="4" fillId="0" borderId="8" xfId="0" applyFont="1" applyBorder="1" applyProtection="1"/>
    <xf numFmtId="0" fontId="4" fillId="0" borderId="3" xfId="0" applyFont="1" applyFill="1" applyBorder="1" applyProtection="1"/>
    <xf numFmtId="0" fontId="4" fillId="0" borderId="0" xfId="0" applyFont="1" applyFill="1" applyBorder="1" applyProtection="1"/>
    <xf numFmtId="0" fontId="4" fillId="0" borderId="0" xfId="0" applyFont="1" applyFill="1" applyBorder="1" applyAlignment="1" applyProtection="1">
      <alignment horizontal="right"/>
    </xf>
    <xf numFmtId="3" fontId="3" fillId="0" borderId="0" xfId="0" applyNumberFormat="1" applyFont="1" applyFill="1" applyBorder="1" applyProtection="1"/>
    <xf numFmtId="0" fontId="4" fillId="0" borderId="5" xfId="0" applyFont="1" applyFill="1" applyBorder="1" applyProtection="1"/>
    <xf numFmtId="0" fontId="4" fillId="0" borderId="0" xfId="0" applyFont="1" applyFill="1" applyProtection="1"/>
    <xf numFmtId="0" fontId="4" fillId="0" borderId="4" xfId="0" applyFont="1" applyBorder="1" applyAlignment="1" applyProtection="1">
      <alignment horizontal="center"/>
    </xf>
    <xf numFmtId="10" fontId="4" fillId="0" borderId="0" xfId="0" applyNumberFormat="1" applyFont="1" applyBorder="1" applyProtection="1"/>
    <xf numFmtId="1" fontId="4" fillId="0" borderId="5" xfId="0" applyNumberFormat="1" applyFont="1" applyBorder="1" applyProtection="1"/>
    <xf numFmtId="0" fontId="3" fillId="2" borderId="6" xfId="0" applyFont="1" applyFill="1" applyBorder="1" applyProtection="1">
      <protection locked="0"/>
    </xf>
    <xf numFmtId="10" fontId="3" fillId="2" borderId="8" xfId="0" applyNumberFormat="1" applyFont="1" applyFill="1" applyBorder="1" applyProtection="1">
      <protection locked="0"/>
    </xf>
    <xf numFmtId="0" fontId="4" fillId="0" borderId="6" xfId="0" applyFont="1" applyFill="1" applyBorder="1" applyAlignment="1" applyProtection="1">
      <alignment horizontal="center"/>
    </xf>
    <xf numFmtId="9" fontId="3" fillId="2" borderId="2" xfId="0" applyNumberFormat="1" applyFont="1" applyFill="1" applyBorder="1" applyProtection="1">
      <protection locked="0"/>
    </xf>
    <xf numFmtId="9" fontId="3" fillId="2" borderId="5" xfId="0" applyNumberFormat="1" applyFont="1" applyFill="1" applyBorder="1" applyProtection="1">
      <protection locked="0"/>
    </xf>
    <xf numFmtId="9" fontId="3" fillId="2" borderId="12" xfId="0" applyNumberFormat="1" applyFont="1" applyFill="1" applyBorder="1" applyProtection="1">
      <protection locked="0"/>
    </xf>
    <xf numFmtId="2" fontId="4" fillId="0" borderId="0" xfId="0" applyNumberFormat="1" applyFont="1" applyBorder="1" applyProtection="1"/>
    <xf numFmtId="10" fontId="3" fillId="2" borderId="7" xfId="0" applyNumberFormat="1" applyFont="1" applyFill="1" applyBorder="1" applyProtection="1">
      <protection locked="0"/>
    </xf>
    <xf numFmtId="3" fontId="3" fillId="5" borderId="6" xfId="0" applyNumberFormat="1" applyFont="1" applyFill="1" applyBorder="1" applyProtection="1">
      <protection locked="0"/>
    </xf>
    <xf numFmtId="0" fontId="3" fillId="5" borderId="6" xfId="0" applyFont="1" applyFill="1" applyBorder="1" applyProtection="1">
      <protection locked="0"/>
    </xf>
    <xf numFmtId="3" fontId="3" fillId="5" borderId="7" xfId="0" applyNumberFormat="1" applyFont="1" applyFill="1" applyBorder="1" applyProtection="1">
      <protection locked="0"/>
    </xf>
    <xf numFmtId="0" fontId="3" fillId="5" borderId="7" xfId="0" applyFont="1" applyFill="1" applyBorder="1" applyProtection="1">
      <protection locked="0"/>
    </xf>
    <xf numFmtId="3" fontId="3" fillId="5" borderId="8" xfId="0" applyNumberFormat="1" applyFont="1" applyFill="1" applyBorder="1" applyProtection="1">
      <protection locked="0"/>
    </xf>
    <xf numFmtId="0" fontId="3" fillId="5" borderId="8" xfId="0" applyFont="1" applyFill="1" applyBorder="1" applyProtection="1">
      <protection locked="0"/>
    </xf>
    <xf numFmtId="3" fontId="3" fillId="4" borderId="6" xfId="0" applyNumberFormat="1" applyFont="1" applyFill="1" applyBorder="1" applyProtection="1"/>
    <xf numFmtId="3" fontId="3" fillId="4" borderId="7" xfId="0" applyNumberFormat="1" applyFont="1" applyFill="1" applyBorder="1" applyProtection="1"/>
    <xf numFmtId="3" fontId="3" fillId="4" borderId="8" xfId="0" applyNumberFormat="1" applyFont="1" applyFill="1" applyBorder="1" applyProtection="1"/>
    <xf numFmtId="3" fontId="3" fillId="4" borderId="4" xfId="0" applyNumberFormat="1" applyFont="1" applyFill="1" applyBorder="1" applyProtection="1"/>
    <xf numFmtId="10" fontId="3" fillId="5" borderId="4" xfId="0" applyNumberFormat="1" applyFont="1" applyFill="1" applyBorder="1" applyProtection="1">
      <protection locked="0"/>
    </xf>
    <xf numFmtId="0" fontId="6" fillId="0" borderId="3" xfId="0" applyFont="1" applyBorder="1" applyProtection="1"/>
    <xf numFmtId="0" fontId="6" fillId="0" borderId="9" xfId="0" applyFont="1" applyBorder="1" applyProtection="1"/>
    <xf numFmtId="4" fontId="3" fillId="5" borderId="9" xfId="0" applyNumberFormat="1" applyFont="1" applyFill="1" applyBorder="1" applyProtection="1">
      <protection locked="0"/>
    </xf>
    <xf numFmtId="4" fontId="3" fillId="5" borderId="3" xfId="0" applyNumberFormat="1" applyFont="1" applyFill="1" applyBorder="1" applyProtection="1">
      <protection locked="0"/>
    </xf>
    <xf numFmtId="0" fontId="4" fillId="5" borderId="3" xfId="0" applyFont="1" applyFill="1" applyBorder="1" applyAlignment="1" applyProtection="1">
      <alignment horizontal="left"/>
      <protection locked="0"/>
    </xf>
    <xf numFmtId="0" fontId="4" fillId="5" borderId="0" xfId="0" applyFont="1" applyFill="1" applyBorder="1" applyAlignment="1" applyProtection="1">
      <alignment horizontal="left"/>
      <protection locked="0"/>
    </xf>
    <xf numFmtId="0" fontId="4" fillId="5" borderId="5" xfId="0" applyFont="1" applyFill="1" applyBorder="1" applyAlignment="1" applyProtection="1">
      <alignment horizontal="left"/>
      <protection locked="0"/>
    </xf>
    <xf numFmtId="4" fontId="3" fillId="5" borderId="10" xfId="0" applyNumberFormat="1" applyFont="1" applyFill="1" applyBorder="1" applyProtection="1">
      <protection locked="0"/>
    </xf>
    <xf numFmtId="0" fontId="3" fillId="4" borderId="4" xfId="0" applyFont="1" applyFill="1" applyBorder="1" applyProtection="1"/>
    <xf numFmtId="0" fontId="4" fillId="4" borderId="3" xfId="0" applyFont="1" applyFill="1" applyBorder="1" applyAlignment="1" applyProtection="1">
      <alignment horizontal="left"/>
    </xf>
    <xf numFmtId="0" fontId="4" fillId="4" borderId="0" xfId="0" applyFont="1" applyFill="1" applyBorder="1" applyAlignment="1" applyProtection="1">
      <alignment horizontal="left"/>
    </xf>
    <xf numFmtId="0" fontId="4" fillId="4" borderId="5" xfId="0" applyFont="1" applyFill="1" applyBorder="1" applyAlignment="1" applyProtection="1">
      <alignment horizontal="left"/>
    </xf>
    <xf numFmtId="3" fontId="3" fillId="5" borderId="1" xfId="0" applyNumberFormat="1" applyFont="1" applyFill="1" applyBorder="1" applyProtection="1">
      <protection locked="0"/>
    </xf>
    <xf numFmtId="3" fontId="3" fillId="5" borderId="0" xfId="0" applyNumberFormat="1" applyFont="1" applyFill="1" applyBorder="1" applyProtection="1">
      <protection locked="0"/>
    </xf>
    <xf numFmtId="3" fontId="3" fillId="5" borderId="10" xfId="0" applyNumberFormat="1" applyFont="1" applyFill="1" applyBorder="1" applyProtection="1">
      <protection locked="0"/>
    </xf>
    <xf numFmtId="3" fontId="3" fillId="4" borderId="9" xfId="0" applyNumberFormat="1" applyFont="1" applyFill="1" applyBorder="1" applyProtection="1"/>
    <xf numFmtId="3" fontId="3" fillId="4" borderId="3" xfId="0" applyNumberFormat="1" applyFont="1" applyFill="1" applyBorder="1" applyProtection="1"/>
    <xf numFmtId="3" fontId="3" fillId="4" borderId="10" xfId="0" applyNumberFormat="1" applyFont="1" applyFill="1" applyBorder="1" applyProtection="1"/>
    <xf numFmtId="0" fontId="3" fillId="0" borderId="0" xfId="0" applyFont="1" applyBorder="1" applyAlignment="1" applyProtection="1">
      <alignment horizontal="right"/>
    </xf>
    <xf numFmtId="3" fontId="3" fillId="4" borderId="16" xfId="0" applyNumberFormat="1" applyFont="1" applyFill="1" applyBorder="1" applyProtection="1"/>
    <xf numFmtId="0" fontId="4" fillId="5" borderId="9" xfId="0" applyFont="1" applyFill="1" applyBorder="1" applyProtection="1">
      <protection locked="0"/>
    </xf>
    <xf numFmtId="0" fontId="4" fillId="5" borderId="1" xfId="0" applyFont="1" applyFill="1" applyBorder="1" applyProtection="1">
      <protection locked="0"/>
    </xf>
    <xf numFmtId="0" fontId="4" fillId="5" borderId="3" xfId="0" applyFont="1" applyFill="1" applyBorder="1" applyProtection="1">
      <protection locked="0"/>
    </xf>
    <xf numFmtId="0" fontId="4" fillId="5" borderId="0" xfId="0" applyFont="1" applyFill="1" applyBorder="1" applyProtection="1">
      <protection locked="0"/>
    </xf>
    <xf numFmtId="0" fontId="4" fillId="5" borderId="10" xfId="0" applyFont="1" applyFill="1" applyBorder="1" applyProtection="1">
      <protection locked="0"/>
    </xf>
    <xf numFmtId="0" fontId="4" fillId="5" borderId="11" xfId="0" applyFont="1" applyFill="1" applyBorder="1" applyProtection="1">
      <protection locked="0"/>
    </xf>
    <xf numFmtId="0" fontId="3" fillId="0" borderId="0" xfId="0" applyFont="1" applyBorder="1" applyAlignment="1" applyProtection="1">
      <alignment horizontal="left"/>
    </xf>
    <xf numFmtId="0" fontId="6" fillId="0" borderId="3" xfId="0" applyFont="1" applyFill="1" applyBorder="1" applyProtection="1"/>
    <xf numFmtId="0" fontId="10" fillId="0" borderId="0" xfId="0" applyFont="1" applyFill="1" applyBorder="1" applyProtection="1"/>
    <xf numFmtId="0" fontId="12" fillId="0" borderId="0" xfId="0" applyFont="1" applyProtection="1"/>
    <xf numFmtId="0" fontId="6" fillId="0" borderId="23" xfId="0" applyFont="1" applyBorder="1"/>
    <xf numFmtId="4" fontId="3" fillId="4" borderId="28" xfId="0" applyNumberFormat="1" applyFont="1" applyFill="1" applyBorder="1"/>
    <xf numFmtId="2" fontId="4" fillId="4" borderId="3" xfId="0" applyNumberFormat="1" applyFont="1" applyFill="1" applyBorder="1"/>
    <xf numFmtId="2" fontId="3" fillId="4" borderId="9" xfId="0" applyNumberFormat="1" applyFont="1" applyFill="1" applyBorder="1"/>
    <xf numFmtId="2" fontId="4" fillId="4" borderId="7" xfId="0" applyNumberFormat="1" applyFont="1" applyFill="1" applyBorder="1"/>
    <xf numFmtId="2" fontId="4" fillId="4" borderId="6" xfId="0" applyNumberFormat="1" applyFont="1" applyFill="1" applyBorder="1"/>
    <xf numFmtId="3" fontId="4" fillId="4" borderId="9" xfId="0" applyNumberFormat="1" applyFont="1" applyFill="1" applyBorder="1"/>
    <xf numFmtId="3" fontId="4" fillId="4" borderId="1" xfId="0" applyNumberFormat="1" applyFont="1" applyFill="1" applyBorder="1"/>
    <xf numFmtId="3" fontId="4" fillId="4" borderId="3" xfId="0" applyNumberFormat="1" applyFont="1" applyFill="1" applyBorder="1"/>
    <xf numFmtId="0" fontId="4" fillId="0" borderId="0" xfId="0" applyFont="1" applyFill="1"/>
    <xf numFmtId="3" fontId="4" fillId="4" borderId="6" xfId="0" applyNumberFormat="1" applyFont="1" applyFill="1" applyBorder="1"/>
    <xf numFmtId="3" fontId="4" fillId="4" borderId="2" xfId="0" applyNumberFormat="1" applyFont="1" applyFill="1" applyBorder="1"/>
    <xf numFmtId="2" fontId="6" fillId="4" borderId="4" xfId="0" applyNumberFormat="1" applyFont="1" applyFill="1" applyBorder="1"/>
    <xf numFmtId="2" fontId="4" fillId="0" borderId="0" xfId="0" applyNumberFormat="1" applyFont="1" applyFill="1" applyBorder="1"/>
    <xf numFmtId="0" fontId="4" fillId="0" borderId="7" xfId="0" applyFont="1" applyFill="1" applyBorder="1" applyAlignment="1">
      <alignment horizontal="left"/>
    </xf>
    <xf numFmtId="3" fontId="9" fillId="0" borderId="0" xfId="0" applyNumberFormat="1" applyFont="1"/>
    <xf numFmtId="3" fontId="4" fillId="0" borderId="0" xfId="0" applyNumberFormat="1" applyFont="1" applyFill="1"/>
    <xf numFmtId="1" fontId="4" fillId="0" borderId="0" xfId="0" applyNumberFormat="1" applyFont="1" applyFill="1"/>
    <xf numFmtId="1" fontId="6" fillId="4" borderId="8" xfId="0" applyNumberFormat="1" applyFont="1" applyFill="1" applyBorder="1"/>
    <xf numFmtId="1" fontId="6" fillId="4" borderId="28" xfId="0" applyNumberFormat="1" applyFont="1" applyFill="1" applyBorder="1"/>
    <xf numFmtId="1" fontId="6" fillId="4" borderId="29" xfId="0" applyNumberFormat="1" applyFont="1" applyFill="1" applyBorder="1"/>
    <xf numFmtId="1" fontId="6" fillId="4" borderId="23" xfId="0" applyNumberFormat="1" applyFont="1" applyFill="1" applyBorder="1"/>
    <xf numFmtId="10" fontId="3" fillId="0" borderId="1" xfId="0" applyNumberFormat="1" applyFont="1" applyFill="1" applyBorder="1"/>
    <xf numFmtId="0" fontId="10" fillId="0" borderId="0" xfId="0" applyFont="1" applyProtection="1">
      <protection locked="0"/>
    </xf>
    <xf numFmtId="0" fontId="13" fillId="0" borderId="0" xfId="0" applyFont="1"/>
    <xf numFmtId="0" fontId="10" fillId="0" borderId="0" xfId="0" applyFont="1" applyFill="1" applyProtection="1">
      <protection locked="0"/>
    </xf>
    <xf numFmtId="0" fontId="6" fillId="0" borderId="0" xfId="0" applyFont="1" applyFill="1" applyProtection="1">
      <protection locked="0"/>
    </xf>
    <xf numFmtId="0" fontId="13" fillId="0" borderId="0" xfId="0" applyFont="1" applyFill="1"/>
    <xf numFmtId="1" fontId="10" fillId="0" borderId="0" xfId="0" applyNumberFormat="1" applyFont="1" applyBorder="1"/>
    <xf numFmtId="0" fontId="10" fillId="0" borderId="0" xfId="0" applyFont="1" applyBorder="1"/>
    <xf numFmtId="0" fontId="6" fillId="0" borderId="0" xfId="0" applyFont="1" applyFill="1"/>
    <xf numFmtId="0" fontId="14" fillId="6" borderId="28" xfId="0" applyFont="1" applyFill="1" applyBorder="1" applyProtection="1"/>
    <xf numFmtId="0" fontId="12" fillId="6" borderId="29" xfId="0" applyFont="1" applyFill="1" applyBorder="1" applyProtection="1"/>
    <xf numFmtId="0" fontId="14" fillId="6" borderId="43" xfId="0" applyFont="1" applyFill="1" applyBorder="1"/>
    <xf numFmtId="2" fontId="14" fillId="6" borderId="44" xfId="0" applyNumberFormat="1" applyFont="1" applyFill="1" applyBorder="1"/>
    <xf numFmtId="3" fontId="14" fillId="6" borderId="33" xfId="0" applyNumberFormat="1" applyFont="1" applyFill="1" applyBorder="1"/>
    <xf numFmtId="3" fontId="14" fillId="6" borderId="34" xfId="0" applyNumberFormat="1" applyFont="1" applyFill="1" applyBorder="1"/>
    <xf numFmtId="3" fontId="14" fillId="6" borderId="44" xfId="0" applyNumberFormat="1" applyFont="1" applyFill="1" applyBorder="1"/>
    <xf numFmtId="165" fontId="14" fillId="6" borderId="34" xfId="0" applyNumberFormat="1" applyFont="1" applyFill="1" applyBorder="1"/>
    <xf numFmtId="3" fontId="14" fillId="6" borderId="42" xfId="0" applyNumberFormat="1" applyFont="1" applyFill="1" applyBorder="1"/>
    <xf numFmtId="1" fontId="3" fillId="4" borderId="4" xfId="0" applyNumberFormat="1" applyFont="1" applyFill="1" applyBorder="1" applyProtection="1"/>
    <xf numFmtId="10" fontId="3" fillId="4" borderId="4" xfId="0" applyNumberFormat="1" applyFont="1" applyFill="1" applyBorder="1" applyProtection="1"/>
    <xf numFmtId="4" fontId="3" fillId="4" borderId="4" xfId="0" applyNumberFormat="1" applyFont="1" applyFill="1" applyBorder="1" applyProtection="1"/>
    <xf numFmtId="9" fontId="3" fillId="5" borderId="5" xfId="0" applyNumberFormat="1" applyFont="1" applyFill="1" applyBorder="1"/>
    <xf numFmtId="9" fontId="3" fillId="5" borderId="12" xfId="0" applyNumberFormat="1" applyFont="1" applyFill="1" applyBorder="1"/>
    <xf numFmtId="0" fontId="6" fillId="0" borderId="0" xfId="0" applyFont="1"/>
    <xf numFmtId="169" fontId="4" fillId="0" borderId="0" xfId="0" applyNumberFormat="1" applyFont="1" applyBorder="1"/>
    <xf numFmtId="3" fontId="3" fillId="7" borderId="25" xfId="0" applyNumberFormat="1" applyFont="1" applyFill="1" applyBorder="1"/>
    <xf numFmtId="3" fontId="6" fillId="7" borderId="19" xfId="0" applyNumberFormat="1" applyFont="1" applyFill="1" applyBorder="1"/>
    <xf numFmtId="3" fontId="4" fillId="7" borderId="19" xfId="0" applyNumberFormat="1" applyFont="1" applyFill="1" applyBorder="1"/>
    <xf numFmtId="3" fontId="3" fillId="7" borderId="19" xfId="0" applyNumberFormat="1" applyFont="1" applyFill="1" applyBorder="1"/>
    <xf numFmtId="4" fontId="3" fillId="4" borderId="7" xfId="0" applyNumberFormat="1" applyFont="1" applyFill="1" applyBorder="1"/>
    <xf numFmtId="3" fontId="4" fillId="4" borderId="8" xfId="0" applyNumberFormat="1" applyFont="1" applyFill="1" applyBorder="1"/>
    <xf numFmtId="0" fontId="4" fillId="4" borderId="7" xfId="0" applyFont="1" applyFill="1" applyBorder="1"/>
    <xf numFmtId="2" fontId="3" fillId="5" borderId="8" xfId="0" applyNumberFormat="1" applyFont="1" applyFill="1" applyBorder="1"/>
    <xf numFmtId="0" fontId="4" fillId="0" borderId="9" xfId="0" quotePrefix="1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4" fillId="0" borderId="3" xfId="0" applyFont="1" applyFill="1" applyBorder="1" applyAlignment="1">
      <alignment horizontal="left"/>
    </xf>
    <xf numFmtId="0" fontId="5" fillId="0" borderId="3" xfId="0" applyFont="1" applyBorder="1" applyAlignment="1">
      <alignment horizontal="center"/>
    </xf>
    <xf numFmtId="1" fontId="3" fillId="2" borderId="6" xfId="0" applyNumberFormat="1" applyFont="1" applyFill="1" applyBorder="1"/>
    <xf numFmtId="0" fontId="5" fillId="0" borderId="11" xfId="0" applyFont="1" applyBorder="1" applyAlignment="1">
      <alignment horizontal="center"/>
    </xf>
    <xf numFmtId="2" fontId="3" fillId="5" borderId="6" xfId="0" applyNumberFormat="1" applyFont="1" applyFill="1" applyBorder="1"/>
    <xf numFmtId="2" fontId="3" fillId="2" borderId="4" xfId="0" applyNumberFormat="1" applyFont="1" applyFill="1" applyBorder="1" applyProtection="1">
      <protection locked="0"/>
    </xf>
    <xf numFmtId="0" fontId="5" fillId="0" borderId="8" xfId="0" applyFont="1" applyBorder="1"/>
    <xf numFmtId="167" fontId="4" fillId="4" borderId="7" xfId="0" applyNumberFormat="1" applyFont="1" applyFill="1" applyBorder="1"/>
    <xf numFmtId="164" fontId="3" fillId="0" borderId="11" xfId="0" applyNumberFormat="1" applyFont="1" applyFill="1" applyBorder="1"/>
    <xf numFmtId="0" fontId="5" fillId="0" borderId="5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1" fontId="4" fillId="0" borderId="0" xfId="0" applyNumberFormat="1" applyFont="1" applyProtection="1"/>
    <xf numFmtId="0" fontId="6" fillId="8" borderId="0" xfId="0" applyFont="1" applyFill="1"/>
    <xf numFmtId="0" fontId="6" fillId="8" borderId="0" xfId="0" applyFont="1" applyFill="1" applyProtection="1">
      <protection locked="0"/>
    </xf>
    <xf numFmtId="0" fontId="10" fillId="8" borderId="0" xfId="0" applyFont="1" applyFill="1" applyProtection="1">
      <protection locked="0"/>
    </xf>
    <xf numFmtId="0" fontId="10" fillId="8" borderId="0" xfId="0" applyFont="1" applyFill="1" applyBorder="1"/>
    <xf numFmtId="1" fontId="10" fillId="8" borderId="0" xfId="0" applyNumberFormat="1" applyFont="1" applyFill="1" applyBorder="1"/>
    <xf numFmtId="0" fontId="10" fillId="8" borderId="0" xfId="0" applyFont="1" applyFill="1"/>
    <xf numFmtId="0" fontId="6" fillId="8" borderId="0" xfId="0" applyFont="1" applyFill="1" applyProtection="1"/>
    <xf numFmtId="0" fontId="13" fillId="8" borderId="0" xfId="0" applyFont="1" applyFill="1"/>
    <xf numFmtId="0" fontId="3" fillId="8" borderId="9" xfId="0" applyFont="1" applyFill="1" applyBorder="1"/>
    <xf numFmtId="49" fontId="3" fillId="2" borderId="9" xfId="0" applyNumberFormat="1" applyFont="1" applyFill="1" applyBorder="1" applyAlignment="1" applyProtection="1">
      <alignment horizontal="left" vertical="top" wrapText="1"/>
      <protection locked="0"/>
    </xf>
    <xf numFmtId="49" fontId="3" fillId="2" borderId="1" xfId="0" applyNumberFormat="1" applyFont="1" applyFill="1" applyBorder="1" applyAlignment="1" applyProtection="1">
      <alignment horizontal="left" vertical="top" wrapText="1"/>
      <protection locked="0"/>
    </xf>
    <xf numFmtId="49" fontId="3" fillId="2" borderId="2" xfId="0" applyNumberFormat="1" applyFont="1" applyFill="1" applyBorder="1" applyAlignment="1" applyProtection="1">
      <alignment horizontal="left" vertical="top" wrapText="1"/>
      <protection locked="0"/>
    </xf>
    <xf numFmtId="49" fontId="3" fillId="2" borderId="3" xfId="0" applyNumberFormat="1" applyFont="1" applyFill="1" applyBorder="1" applyAlignment="1" applyProtection="1">
      <alignment horizontal="left" vertical="top" wrapText="1"/>
      <protection locked="0"/>
    </xf>
    <xf numFmtId="49" fontId="3" fillId="2" borderId="0" xfId="0" applyNumberFormat="1" applyFont="1" applyFill="1" applyBorder="1" applyAlignment="1" applyProtection="1">
      <alignment horizontal="left" vertical="top" wrapText="1"/>
      <protection locked="0"/>
    </xf>
    <xf numFmtId="49" fontId="3" fillId="2" borderId="5" xfId="0" applyNumberFormat="1" applyFont="1" applyFill="1" applyBorder="1" applyAlignment="1" applyProtection="1">
      <alignment horizontal="left" vertical="top" wrapText="1"/>
      <protection locked="0"/>
    </xf>
    <xf numFmtId="49" fontId="3" fillId="2" borderId="10" xfId="0" applyNumberFormat="1" applyFont="1" applyFill="1" applyBorder="1" applyAlignment="1" applyProtection="1">
      <alignment horizontal="left" vertical="top" wrapText="1"/>
      <protection locked="0"/>
    </xf>
    <xf numFmtId="49" fontId="3" fillId="2" borderId="11" xfId="0" applyNumberFormat="1" applyFont="1" applyFill="1" applyBorder="1" applyAlignment="1" applyProtection="1">
      <alignment horizontal="left" vertical="top" wrapText="1"/>
      <protection locked="0"/>
    </xf>
    <xf numFmtId="49" fontId="3" fillId="2" borderId="12" xfId="0" applyNumberFormat="1" applyFont="1" applyFill="1" applyBorder="1" applyAlignment="1" applyProtection="1">
      <alignment horizontal="left" vertical="top" wrapText="1"/>
      <protection locked="0"/>
    </xf>
    <xf numFmtId="3" fontId="14" fillId="6" borderId="28" xfId="0" applyNumberFormat="1" applyFont="1" applyFill="1" applyBorder="1" applyAlignment="1" applyProtection="1">
      <alignment horizontal="center"/>
    </xf>
    <xf numFmtId="3" fontId="14" fillId="6" borderId="23" xfId="0" applyNumberFormat="1" applyFont="1" applyFill="1" applyBorder="1" applyAlignment="1" applyProtection="1">
      <alignment horizontal="center"/>
    </xf>
    <xf numFmtId="3" fontId="6" fillId="4" borderId="0" xfId="0" applyNumberFormat="1" applyFont="1" applyFill="1" applyBorder="1" applyAlignment="1" applyProtection="1">
      <alignment horizontal="center"/>
    </xf>
    <xf numFmtId="3" fontId="6" fillId="4" borderId="5" xfId="0" applyNumberFormat="1" applyFont="1" applyFill="1" applyBorder="1" applyAlignment="1" applyProtection="1">
      <alignment horizontal="center"/>
    </xf>
    <xf numFmtId="0" fontId="4" fillId="0" borderId="28" xfId="0" applyFont="1" applyBorder="1" applyAlignment="1" applyProtection="1">
      <alignment horizontal="center"/>
    </xf>
    <xf numFmtId="0" fontId="4" fillId="0" borderId="23" xfId="0" applyFont="1" applyBorder="1" applyAlignment="1" applyProtection="1">
      <alignment horizontal="center"/>
    </xf>
    <xf numFmtId="3" fontId="3" fillId="4" borderId="9" xfId="0" applyNumberFormat="1" applyFont="1" applyFill="1" applyBorder="1" applyAlignment="1" applyProtection="1">
      <alignment horizontal="center"/>
    </xf>
    <xf numFmtId="3" fontId="3" fillId="4" borderId="2" xfId="0" applyNumberFormat="1" applyFont="1" applyFill="1" applyBorder="1" applyAlignment="1" applyProtection="1">
      <alignment horizontal="center"/>
    </xf>
    <xf numFmtId="3" fontId="3" fillId="4" borderId="3" xfId="0" applyNumberFormat="1" applyFont="1" applyFill="1" applyBorder="1" applyAlignment="1" applyProtection="1">
      <alignment horizontal="center"/>
    </xf>
    <xf numFmtId="3" fontId="3" fillId="4" borderId="5" xfId="0" applyNumberFormat="1" applyFont="1" applyFill="1" applyBorder="1" applyAlignment="1" applyProtection="1">
      <alignment horizontal="center"/>
    </xf>
    <xf numFmtId="3" fontId="3" fillId="4" borderId="10" xfId="0" applyNumberFormat="1" applyFont="1" applyFill="1" applyBorder="1" applyAlignment="1" applyProtection="1">
      <alignment horizontal="center"/>
    </xf>
    <xf numFmtId="3" fontId="3" fillId="4" borderId="12" xfId="0" applyNumberFormat="1" applyFont="1" applyFill="1" applyBorder="1" applyAlignment="1" applyProtection="1">
      <alignment horizontal="center"/>
    </xf>
    <xf numFmtId="0" fontId="4" fillId="4" borderId="10" xfId="0" applyFont="1" applyFill="1" applyBorder="1" applyAlignment="1" applyProtection="1">
      <alignment horizontal="left"/>
    </xf>
    <xf numFmtId="0" fontId="4" fillId="4" borderId="11" xfId="0" applyFont="1" applyFill="1" applyBorder="1" applyAlignment="1" applyProtection="1">
      <alignment horizontal="left"/>
    </xf>
    <xf numFmtId="0" fontId="4" fillId="4" borderId="12" xfId="0" applyFont="1" applyFill="1" applyBorder="1" applyAlignment="1" applyProtection="1">
      <alignment horizontal="left"/>
    </xf>
    <xf numFmtId="3" fontId="3" fillId="4" borderId="16" xfId="0" applyNumberFormat="1" applyFont="1" applyFill="1" applyBorder="1" applyAlignment="1" applyProtection="1">
      <alignment horizontal="center"/>
    </xf>
    <xf numFmtId="3" fontId="3" fillId="4" borderId="45" xfId="0" applyNumberFormat="1" applyFont="1" applyFill="1" applyBorder="1" applyAlignment="1" applyProtection="1">
      <alignment horizontal="center"/>
    </xf>
    <xf numFmtId="0" fontId="4" fillId="5" borderId="3" xfId="0" applyFont="1" applyFill="1" applyBorder="1" applyAlignment="1" applyProtection="1">
      <alignment horizontal="left"/>
      <protection locked="0"/>
    </xf>
    <xf numFmtId="0" fontId="4" fillId="5" borderId="0" xfId="0" applyFont="1" applyFill="1" applyBorder="1" applyAlignment="1" applyProtection="1">
      <alignment horizontal="left"/>
      <protection locked="0"/>
    </xf>
    <xf numFmtId="0" fontId="4" fillId="5" borderId="5" xfId="0" applyFont="1" applyFill="1" applyBorder="1" applyAlignment="1" applyProtection="1">
      <alignment horizontal="left"/>
      <protection locked="0"/>
    </xf>
    <xf numFmtId="0" fontId="4" fillId="5" borderId="10" xfId="0" applyFont="1" applyFill="1" applyBorder="1" applyAlignment="1" applyProtection="1">
      <alignment horizontal="left"/>
      <protection locked="0"/>
    </xf>
    <xf numFmtId="0" fontId="4" fillId="5" borderId="11" xfId="0" applyFont="1" applyFill="1" applyBorder="1" applyAlignment="1" applyProtection="1">
      <alignment horizontal="left"/>
      <protection locked="0"/>
    </xf>
    <xf numFmtId="0" fontId="4" fillId="5" borderId="12" xfId="0" applyFont="1" applyFill="1" applyBorder="1" applyAlignment="1" applyProtection="1">
      <alignment horizontal="left"/>
      <protection locked="0"/>
    </xf>
    <xf numFmtId="0" fontId="4" fillId="4" borderId="3" xfId="0" applyFont="1" applyFill="1" applyBorder="1" applyAlignment="1" applyProtection="1">
      <alignment horizontal="left"/>
    </xf>
    <xf numFmtId="0" fontId="4" fillId="4" borderId="0" xfId="0" applyFont="1" applyFill="1" applyBorder="1" applyAlignment="1" applyProtection="1">
      <alignment horizontal="left"/>
    </xf>
    <xf numFmtId="0" fontId="4" fillId="4" borderId="5" xfId="0" applyFont="1" applyFill="1" applyBorder="1" applyAlignment="1" applyProtection="1">
      <alignment horizontal="left"/>
    </xf>
    <xf numFmtId="0" fontId="4" fillId="4" borderId="9" xfId="0" applyFont="1" applyFill="1" applyBorder="1" applyAlignment="1" applyProtection="1">
      <alignment horizontal="left"/>
    </xf>
    <xf numFmtId="0" fontId="4" fillId="4" borderId="1" xfId="0" applyFont="1" applyFill="1" applyBorder="1" applyAlignment="1" applyProtection="1">
      <alignment horizontal="left"/>
    </xf>
    <xf numFmtId="0" fontId="4" fillId="4" borderId="2" xfId="0" applyFont="1" applyFill="1" applyBorder="1" applyAlignment="1" applyProtection="1">
      <alignment horizontal="left"/>
    </xf>
    <xf numFmtId="0" fontId="4" fillId="5" borderId="9" xfId="0" applyFont="1" applyFill="1" applyBorder="1" applyAlignment="1" applyProtection="1">
      <alignment horizontal="left"/>
      <protection locked="0"/>
    </xf>
    <xf numFmtId="0" fontId="4" fillId="5" borderId="1" xfId="0" applyFont="1" applyFill="1" applyBorder="1" applyAlignment="1" applyProtection="1">
      <alignment horizontal="left"/>
      <protection locked="0"/>
    </xf>
    <xf numFmtId="0" fontId="4" fillId="5" borderId="2" xfId="0" applyFont="1" applyFill="1" applyBorder="1" applyAlignment="1" applyProtection="1">
      <alignment horizontal="left"/>
      <protection locked="0"/>
    </xf>
    <xf numFmtId="0" fontId="3" fillId="0" borderId="13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6" fillId="0" borderId="1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</xdr:row>
      <xdr:rowOff>9525</xdr:rowOff>
    </xdr:from>
    <xdr:to>
      <xdr:col>1</xdr:col>
      <xdr:colOff>0</xdr:colOff>
      <xdr:row>7</xdr:row>
      <xdr:rowOff>0</xdr:rowOff>
    </xdr:to>
    <xdr:sp macro="" textlink="">
      <xdr:nvSpPr>
        <xdr:cNvPr id="2873" name="Line 11"/>
        <xdr:cNvSpPr>
          <a:spLocks noChangeShapeType="1"/>
        </xdr:cNvSpPr>
      </xdr:nvSpPr>
      <xdr:spPr bwMode="auto">
        <a:xfrm>
          <a:off x="19050" y="1209675"/>
          <a:ext cx="1362075" cy="1000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38100</xdr:colOff>
      <xdr:row>6</xdr:row>
      <xdr:rowOff>771524</xdr:rowOff>
    </xdr:from>
    <xdr:to>
      <xdr:col>0</xdr:col>
      <xdr:colOff>889000</xdr:colOff>
      <xdr:row>6</xdr:row>
      <xdr:rowOff>984249</xdr:rowOff>
    </xdr:to>
    <xdr:sp macro="" textlink="">
      <xdr:nvSpPr>
        <xdr:cNvPr id="2060" name="Text Box 12"/>
        <xdr:cNvSpPr txBox="1">
          <a:spLocks noChangeArrowheads="1"/>
        </xdr:cNvSpPr>
      </xdr:nvSpPr>
      <xdr:spPr bwMode="auto">
        <a:xfrm>
          <a:off x="38100" y="2189691"/>
          <a:ext cx="850900" cy="2127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UY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Máquina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0"/>
  <sheetViews>
    <sheetView showGridLines="0" tabSelected="1" topLeftCell="A7" zoomScale="90" zoomScaleNormal="90" workbookViewId="0">
      <selection activeCell="D9" sqref="D9"/>
    </sheetView>
  </sheetViews>
  <sheetFormatPr baseColWidth="10" defaultColWidth="9.140625" defaultRowHeight="15" x14ac:dyDescent="0.25"/>
  <cols>
    <col min="1" max="1" width="20.7109375" style="3" customWidth="1"/>
    <col min="2" max="2" width="16.140625" style="3" customWidth="1"/>
    <col min="3" max="3" width="17" style="3" customWidth="1"/>
    <col min="4" max="6" width="12.7109375" style="3" customWidth="1"/>
    <col min="7" max="7" width="10.42578125" style="3" customWidth="1"/>
    <col min="8" max="8" width="12.5703125" style="3" customWidth="1"/>
    <col min="9" max="9" width="10.140625" style="3" customWidth="1"/>
    <col min="10" max="10" width="7.42578125" style="3" customWidth="1"/>
    <col min="11" max="11" width="10.28515625" style="3" customWidth="1"/>
    <col min="12" max="12" width="10.42578125" style="3" customWidth="1"/>
    <col min="13" max="13" width="9.140625" style="3"/>
    <col min="14" max="14" width="10.28515625" style="3" bestFit="1" customWidth="1"/>
    <col min="15" max="15" width="11.85546875" style="3" bestFit="1" customWidth="1"/>
    <col min="16" max="16384" width="9.140625" style="3"/>
  </cols>
  <sheetData>
    <row r="1" spans="1:15" s="184" customFormat="1" ht="15.75" x14ac:dyDescent="0.25">
      <c r="A1" s="448" t="s">
        <v>25</v>
      </c>
      <c r="B1" s="449" t="str">
        <f>CONCATENATE(A8," y ",A9)</f>
        <v>Hv1 con C2 y Fw1</v>
      </c>
      <c r="C1" s="449"/>
      <c r="D1" s="450"/>
      <c r="E1" s="450"/>
      <c r="F1" s="450"/>
      <c r="G1" s="402"/>
    </row>
    <row r="2" spans="1:15" s="184" customFormat="1" ht="15.75" x14ac:dyDescent="0.25">
      <c r="A2" s="448" t="s">
        <v>99</v>
      </c>
      <c r="B2" s="449" t="str">
        <f>CONCATENATE(Harvester!B2," y ",Forwarder!B2)</f>
        <v>Tala rasa pulpa descortezado total y Extracción pulpa</v>
      </c>
      <c r="C2" s="449"/>
      <c r="D2" s="450"/>
      <c r="E2" s="450"/>
      <c r="F2" s="450"/>
      <c r="G2" s="402"/>
    </row>
    <row r="3" spans="1:15" s="184" customFormat="1" ht="15.75" x14ac:dyDescent="0.25">
      <c r="A3" s="448" t="s">
        <v>26</v>
      </c>
      <c r="B3" s="449"/>
      <c r="C3" s="449"/>
      <c r="D3" s="450"/>
      <c r="E3" s="450"/>
      <c r="F3" s="450"/>
      <c r="G3" s="402"/>
    </row>
    <row r="4" spans="1:15" s="184" customFormat="1" ht="15.75" x14ac:dyDescent="0.25">
      <c r="A4" s="448" t="s">
        <v>27</v>
      </c>
      <c r="B4" s="449"/>
      <c r="C4" s="449"/>
      <c r="D4" s="450"/>
      <c r="E4" s="450"/>
      <c r="F4" s="450"/>
      <c r="G4" s="402"/>
    </row>
    <row r="5" spans="1:15" s="184" customFormat="1" ht="15.75" x14ac:dyDescent="0.25">
      <c r="A5" s="448" t="s">
        <v>11</v>
      </c>
      <c r="B5" s="449"/>
      <c r="C5" s="449"/>
      <c r="D5" s="449"/>
      <c r="E5" s="449"/>
      <c r="F5" s="449"/>
      <c r="G5" s="403"/>
      <c r="H5" s="403"/>
      <c r="I5" s="403"/>
      <c r="J5" s="403"/>
      <c r="K5" s="403"/>
      <c r="L5" s="403"/>
      <c r="M5" s="403"/>
      <c r="N5" s="403"/>
      <c r="O5" s="403"/>
    </row>
    <row r="6" spans="1:15" s="8" customFormat="1" ht="15.75" thickBot="1" x14ac:dyDescent="0.3"/>
    <row r="7" spans="1:15" ht="80.099999999999994" customHeight="1" thickBot="1" x14ac:dyDescent="0.3">
      <c r="A7" s="293"/>
      <c r="B7" s="294"/>
      <c r="C7" s="295"/>
      <c r="D7" s="296" t="s">
        <v>188</v>
      </c>
      <c r="E7" s="297" t="s">
        <v>134</v>
      </c>
      <c r="F7" s="297" t="s">
        <v>135</v>
      </c>
      <c r="G7" s="297" t="s">
        <v>136</v>
      </c>
      <c r="H7" s="297" t="s">
        <v>151</v>
      </c>
      <c r="I7" s="298" t="s">
        <v>137</v>
      </c>
      <c r="K7" s="75"/>
      <c r="L7" s="8"/>
    </row>
    <row r="8" spans="1:15" ht="80.099999999999994" customHeight="1" x14ac:dyDescent="0.25">
      <c r="A8" s="299" t="str">
        <f>Harvester!B1</f>
        <v>Hv1 con C2</v>
      </c>
      <c r="B8" s="303"/>
      <c r="C8" s="76"/>
      <c r="D8" s="301">
        <f>Harvester!L59</f>
        <v>7.854334615629444</v>
      </c>
      <c r="E8" s="286">
        <f>Harvester!L51</f>
        <v>300000</v>
      </c>
      <c r="F8" s="287">
        <f>Harvester!L54</f>
        <v>4</v>
      </c>
      <c r="G8" s="287">
        <f>Harvester!E33</f>
        <v>2</v>
      </c>
      <c r="H8" s="287">
        <f>Harvester!L61</f>
        <v>9.1999999999999993</v>
      </c>
      <c r="I8" s="288">
        <f>Harvester!E31</f>
        <v>282</v>
      </c>
      <c r="J8" s="77"/>
      <c r="K8" s="78"/>
    </row>
    <row r="9" spans="1:15" ht="80.099999999999994" customHeight="1" thickBot="1" x14ac:dyDescent="0.3">
      <c r="A9" s="300" t="str">
        <f>Forwarder!B1</f>
        <v>Fw1</v>
      </c>
      <c r="B9" s="304"/>
      <c r="C9" s="289"/>
      <c r="D9" s="302">
        <f>Forwarder!K56</f>
        <v>2.7414034723538565</v>
      </c>
      <c r="E9" s="290">
        <f>Forwarder!K46</f>
        <v>300000</v>
      </c>
      <c r="F9" s="291">
        <f>Forwarder!K49</f>
        <v>2</v>
      </c>
      <c r="G9" s="291">
        <f>Forwarder!E32</f>
        <v>2</v>
      </c>
      <c r="H9" s="291">
        <f>Forwarder!K58</f>
        <v>4.5999999999999996</v>
      </c>
      <c r="I9" s="292">
        <f>Forwarder!E30</f>
        <v>273</v>
      </c>
      <c r="J9" s="77"/>
      <c r="K9" s="78"/>
    </row>
    <row r="10" spans="1:15" x14ac:dyDescent="0.25">
      <c r="A10" s="80"/>
      <c r="B10" s="81" t="s">
        <v>214</v>
      </c>
      <c r="C10" s="56"/>
      <c r="D10" s="82">
        <f>SUM(D8:D9)</f>
        <v>10.5957380879833</v>
      </c>
      <c r="F10" s="55">
        <f>SUM(F9:F9,F8:F8)</f>
        <v>6</v>
      </c>
      <c r="G10" s="8"/>
      <c r="H10" s="55">
        <f>SUM(H9:H9,H8:H8)</f>
        <v>13.799999999999999</v>
      </c>
      <c r="I10" s="8"/>
    </row>
    <row r="11" spans="1:15" x14ac:dyDescent="0.25">
      <c r="A11" s="80"/>
      <c r="B11" s="81" t="s">
        <v>215</v>
      </c>
      <c r="C11" s="81"/>
      <c r="D11" s="82">
        <f>Administración!H96/'Indicadores proyecto'!C11</f>
        <v>2.5045545864627043</v>
      </c>
      <c r="F11" s="83">
        <f>SUM(Administración!E39)</f>
        <v>4</v>
      </c>
      <c r="G11" s="8"/>
      <c r="H11" s="83">
        <f>SUM(Administración!G10:G24)</f>
        <v>19</v>
      </c>
      <c r="I11" s="8"/>
    </row>
    <row r="12" spans="1:15" ht="15.75" thickBot="1" x14ac:dyDescent="0.3">
      <c r="A12" s="8"/>
      <c r="B12" s="84" t="s">
        <v>7</v>
      </c>
      <c r="C12" s="85"/>
      <c r="D12" s="86">
        <f>SUM(D10:D11)</f>
        <v>13.100292674446004</v>
      </c>
      <c r="F12" s="87">
        <f>SUM(F10:F11)</f>
        <v>10</v>
      </c>
      <c r="G12" s="49"/>
      <c r="H12" s="87">
        <f>SUM(H10:H11)</f>
        <v>32.799999999999997</v>
      </c>
      <c r="I12" s="49"/>
    </row>
    <row r="13" spans="1:15" ht="15.75" thickTop="1" x14ac:dyDescent="0.25">
      <c r="A13" s="8"/>
      <c r="B13" s="8"/>
      <c r="C13" s="81"/>
      <c r="D13" s="81"/>
      <c r="E13" s="81"/>
      <c r="F13" s="81"/>
      <c r="G13" s="8"/>
      <c r="H13" s="8"/>
      <c r="I13" s="49"/>
      <c r="J13" s="56"/>
      <c r="K13" s="49"/>
      <c r="M13" s="49"/>
      <c r="N13" s="88"/>
    </row>
    <row r="14" spans="1:15" x14ac:dyDescent="0.25">
      <c r="A14" s="8"/>
      <c r="B14" s="8"/>
      <c r="C14" s="8"/>
      <c r="D14" s="56"/>
      <c r="E14" s="8"/>
      <c r="F14" s="8"/>
      <c r="G14" s="8"/>
      <c r="H14" s="8"/>
      <c r="I14" s="8"/>
      <c r="J14" s="49"/>
      <c r="K14" s="56"/>
      <c r="L14" s="49"/>
      <c r="N14" s="49"/>
      <c r="O14" s="88"/>
    </row>
    <row r="15" spans="1:15" x14ac:dyDescent="0.25">
      <c r="A15" s="8"/>
      <c r="B15" s="8"/>
      <c r="C15" s="8"/>
      <c r="D15" s="8"/>
      <c r="E15" s="8"/>
      <c r="F15" s="8"/>
      <c r="G15" s="8"/>
      <c r="H15" s="8"/>
      <c r="I15" s="8"/>
      <c r="J15" s="8"/>
      <c r="K15" s="81"/>
      <c r="L15" s="8"/>
      <c r="N15" s="8"/>
      <c r="O15" s="88"/>
    </row>
    <row r="16" spans="1:15" x14ac:dyDescent="0.25">
      <c r="A16" s="8"/>
      <c r="B16" s="8"/>
      <c r="C16" s="8"/>
      <c r="D16" s="8"/>
      <c r="E16" s="8"/>
      <c r="F16" s="8"/>
      <c r="G16" s="8"/>
      <c r="I16" s="8"/>
      <c r="J16" s="8"/>
      <c r="K16" s="8"/>
      <c r="L16" s="8"/>
      <c r="O16" s="89"/>
    </row>
    <row r="17" spans="1:14" ht="50.1" customHeight="1" x14ac:dyDescent="0.25">
      <c r="A17" s="8"/>
      <c r="B17" s="8"/>
      <c r="C17" s="8"/>
      <c r="D17" s="8"/>
      <c r="E17" s="8"/>
      <c r="F17" s="8"/>
      <c r="G17" s="8"/>
      <c r="I17" s="8"/>
      <c r="K17" s="8"/>
    </row>
    <row r="18" spans="1:14" ht="39.950000000000003" customHeight="1" x14ac:dyDescent="0.25">
      <c r="A18" s="8"/>
      <c r="B18" s="8"/>
      <c r="C18" s="8"/>
      <c r="D18" s="8"/>
      <c r="E18" s="8"/>
      <c r="F18" s="8"/>
      <c r="G18" s="8"/>
      <c r="I18" s="8"/>
      <c r="J18" s="8"/>
      <c r="K18" s="8"/>
      <c r="L18" s="8"/>
      <c r="N18" s="8"/>
    </row>
    <row r="19" spans="1:14" ht="39.950000000000003" customHeight="1" x14ac:dyDescent="0.25">
      <c r="A19" s="8"/>
      <c r="B19" s="8"/>
      <c r="C19" s="8"/>
      <c r="D19" s="8"/>
      <c r="E19" s="8"/>
      <c r="F19" s="8"/>
      <c r="G19" s="8"/>
      <c r="I19" s="8"/>
      <c r="J19" s="8"/>
      <c r="K19" s="8"/>
      <c r="L19" s="8"/>
      <c r="N19" s="8"/>
    </row>
    <row r="20" spans="1:14" ht="39.950000000000003" customHeight="1" x14ac:dyDescent="0.25">
      <c r="A20" s="8"/>
      <c r="B20" s="8"/>
      <c r="C20" s="8"/>
      <c r="D20" s="8"/>
      <c r="E20" s="8"/>
      <c r="F20" s="8"/>
      <c r="G20" s="8"/>
      <c r="I20" s="8"/>
      <c r="J20" s="8"/>
      <c r="K20" s="8"/>
      <c r="L20" s="8"/>
      <c r="N20" s="8"/>
    </row>
    <row r="21" spans="1:14" ht="39.950000000000003" customHeight="1" x14ac:dyDescent="0.25">
      <c r="A21" s="8"/>
      <c r="B21" s="8"/>
      <c r="C21" s="8"/>
      <c r="D21" s="8"/>
      <c r="E21" s="8"/>
      <c r="F21" s="8"/>
      <c r="G21" s="8"/>
      <c r="I21" s="8"/>
      <c r="J21" s="8"/>
      <c r="K21" s="8"/>
      <c r="L21" s="8"/>
      <c r="N21" s="8"/>
    </row>
    <row r="22" spans="1:14" ht="39.950000000000003" customHeight="1" x14ac:dyDescent="0.25">
      <c r="A22" s="8"/>
      <c r="B22" s="8"/>
      <c r="C22" s="8"/>
      <c r="D22" s="8"/>
      <c r="E22" s="8"/>
      <c r="F22" s="8"/>
      <c r="G22" s="8"/>
      <c r="I22" s="8"/>
      <c r="J22" s="8"/>
      <c r="K22" s="8"/>
      <c r="L22" s="8"/>
      <c r="N22" s="8"/>
    </row>
    <row r="23" spans="1:14" ht="39.950000000000003" customHeight="1" x14ac:dyDescent="0.25">
      <c r="A23" s="8"/>
      <c r="B23" s="8"/>
      <c r="C23" s="8"/>
      <c r="D23" s="8"/>
      <c r="E23" s="8"/>
      <c r="F23" s="8"/>
      <c r="G23" s="8"/>
      <c r="I23" s="8"/>
      <c r="J23" s="8"/>
      <c r="K23" s="8"/>
      <c r="L23" s="8"/>
      <c r="N23" s="8"/>
    </row>
    <row r="24" spans="1:14" ht="39.950000000000003" customHeight="1" x14ac:dyDescent="0.25">
      <c r="A24" s="8"/>
      <c r="B24" s="8"/>
      <c r="C24" s="8"/>
      <c r="D24" s="8"/>
      <c r="E24" s="8"/>
      <c r="F24" s="8"/>
      <c r="G24" s="8"/>
      <c r="I24" s="8"/>
      <c r="J24" s="8"/>
      <c r="K24" s="8"/>
      <c r="L24" s="8"/>
      <c r="N24" s="8"/>
    </row>
    <row r="25" spans="1:14" ht="39.950000000000003" customHeight="1" x14ac:dyDescent="0.25">
      <c r="A25" s="8"/>
      <c r="B25" s="8"/>
      <c r="C25" s="8"/>
      <c r="D25" s="8"/>
      <c r="E25" s="8"/>
      <c r="F25" s="8"/>
      <c r="G25" s="8"/>
      <c r="I25" s="8"/>
      <c r="J25" s="8"/>
      <c r="K25" s="8"/>
      <c r="L25" s="8"/>
      <c r="N25" s="8"/>
    </row>
    <row r="26" spans="1:14" ht="39.950000000000003" customHeight="1" x14ac:dyDescent="0.25">
      <c r="A26" s="8"/>
      <c r="B26" s="8"/>
      <c r="C26" s="8"/>
      <c r="D26" s="8"/>
      <c r="E26" s="8"/>
      <c r="F26" s="8"/>
      <c r="G26" s="8"/>
      <c r="I26" s="8"/>
      <c r="J26" s="8"/>
      <c r="K26" s="8"/>
      <c r="L26" s="8"/>
      <c r="N26" s="8"/>
    </row>
    <row r="27" spans="1:14" ht="39.950000000000003" customHeight="1" x14ac:dyDescent="0.25">
      <c r="A27" s="8"/>
      <c r="B27" s="8"/>
      <c r="C27" s="8"/>
      <c r="D27" s="8"/>
      <c r="E27" s="8"/>
      <c r="F27" s="8"/>
      <c r="G27" s="8"/>
      <c r="I27" s="8"/>
      <c r="J27" s="8"/>
      <c r="K27" s="8"/>
      <c r="L27" s="8"/>
      <c r="N27" s="8"/>
    </row>
    <row r="28" spans="1:14" x14ac:dyDescent="0.25">
      <c r="A28" s="8"/>
      <c r="B28" s="8"/>
      <c r="C28" s="8"/>
      <c r="D28" s="8"/>
      <c r="E28" s="8"/>
      <c r="F28" s="8"/>
      <c r="G28" s="8"/>
      <c r="I28" s="8"/>
      <c r="J28" s="8"/>
      <c r="K28" s="8"/>
      <c r="L28" s="8"/>
      <c r="N28" s="8"/>
    </row>
    <row r="29" spans="1:14" x14ac:dyDescent="0.25">
      <c r="A29" s="8"/>
      <c r="B29" s="8"/>
      <c r="C29" s="8"/>
      <c r="D29" s="8"/>
      <c r="E29" s="8"/>
      <c r="F29" s="8"/>
      <c r="G29" s="8"/>
      <c r="I29" s="8"/>
      <c r="K29" s="8"/>
    </row>
    <row r="30" spans="1:14" x14ac:dyDescent="0.25">
      <c r="A30" s="8"/>
      <c r="B30" s="8"/>
      <c r="C30" s="8"/>
      <c r="D30" s="8"/>
      <c r="E30" s="8"/>
      <c r="F30" s="8"/>
      <c r="G30" s="8"/>
      <c r="I30" s="8"/>
      <c r="K30" s="8"/>
    </row>
  </sheetData>
  <phoneticPr fontId="0" type="noConversion"/>
  <pageMargins left="0.75" right="0.75" top="1" bottom="1" header="0.5" footer="0.5"/>
  <pageSetup paperSize="9" scale="9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38"/>
  <sheetViews>
    <sheetView showGridLines="0" topLeftCell="A13" zoomScale="80" zoomScaleNormal="80" workbookViewId="0">
      <selection activeCell="D24" sqref="D24"/>
    </sheetView>
  </sheetViews>
  <sheetFormatPr baseColWidth="10" defaultColWidth="9.140625" defaultRowHeight="15" x14ac:dyDescent="0.25"/>
  <cols>
    <col min="1" max="1" width="29.42578125" style="3" customWidth="1"/>
    <col min="2" max="2" width="9.140625" style="3"/>
    <col min="3" max="3" width="12.140625" style="3" bestFit="1" customWidth="1"/>
    <col min="4" max="4" width="15" style="3" bestFit="1" customWidth="1"/>
    <col min="5" max="6" width="9.140625" style="3"/>
    <col min="7" max="7" width="10.28515625" style="3" customWidth="1"/>
    <col min="8" max="8" width="9.140625" style="3"/>
    <col min="9" max="9" width="12.7109375" style="3" bestFit="1" customWidth="1"/>
    <col min="10" max="14" width="9.140625" style="3"/>
    <col min="15" max="15" width="6.5703125" style="3" customWidth="1"/>
    <col min="16" max="16384" width="9.140625" style="3"/>
  </cols>
  <sheetData>
    <row r="1" spans="1:15" s="184" customFormat="1" ht="15.75" x14ac:dyDescent="0.25">
      <c r="A1" s="448" t="s">
        <v>25</v>
      </c>
      <c r="B1" s="454" t="str">
        <f>CONCATENATE('Matriz de flota'!A8," y ",'Matriz de flota'!A9)</f>
        <v>Hv1 con C2 y Fw1</v>
      </c>
      <c r="C1" s="449"/>
      <c r="D1" s="450"/>
      <c r="E1" s="450"/>
      <c r="F1" s="450"/>
      <c r="G1" s="450"/>
    </row>
    <row r="2" spans="1:15" s="184" customFormat="1" ht="15.75" x14ac:dyDescent="0.25">
      <c r="A2" s="448" t="s">
        <v>99</v>
      </c>
      <c r="B2" s="454" t="str">
        <f>CONCATENATE(Harvester!B2," y ",Forwarder!B2)</f>
        <v>Tala rasa pulpa descortezado total y Extracción pulpa</v>
      </c>
      <c r="C2" s="449"/>
      <c r="D2" s="450"/>
      <c r="E2" s="450"/>
      <c r="F2" s="450"/>
      <c r="G2" s="450"/>
    </row>
    <row r="3" spans="1:15" s="184" customFormat="1" ht="15.75" x14ac:dyDescent="0.25">
      <c r="A3" s="448" t="s">
        <v>26</v>
      </c>
      <c r="B3" s="454">
        <f>'Matriz de flota'!B3</f>
        <v>0</v>
      </c>
      <c r="C3" s="449"/>
      <c r="D3" s="450"/>
      <c r="E3" s="450"/>
      <c r="F3" s="450"/>
      <c r="G3" s="450"/>
    </row>
    <row r="4" spans="1:15" s="184" customFormat="1" ht="15.75" x14ac:dyDescent="0.25">
      <c r="A4" s="448" t="s">
        <v>27</v>
      </c>
      <c r="B4" s="454">
        <f>'Matriz de flota'!B4</f>
        <v>0</v>
      </c>
      <c r="C4" s="449"/>
      <c r="D4" s="450"/>
      <c r="E4" s="450"/>
      <c r="F4" s="450"/>
      <c r="G4" s="450"/>
    </row>
    <row r="5" spans="1:15" s="184" customFormat="1" ht="15.75" x14ac:dyDescent="0.25">
      <c r="A5" s="448" t="s">
        <v>11</v>
      </c>
      <c r="B5" s="454">
        <f>'Matriz de flota'!B5</f>
        <v>0</v>
      </c>
      <c r="C5" s="449"/>
      <c r="D5" s="449"/>
      <c r="E5" s="449"/>
      <c r="F5" s="449"/>
      <c r="G5" s="455"/>
      <c r="H5" s="403"/>
      <c r="I5" s="403"/>
      <c r="J5" s="403"/>
      <c r="K5" s="403"/>
      <c r="L5" s="403"/>
      <c r="M5" s="403"/>
      <c r="N5" s="403"/>
      <c r="O5" s="403"/>
    </row>
    <row r="7" spans="1:15" x14ac:dyDescent="0.25">
      <c r="A7" s="456" t="s">
        <v>235</v>
      </c>
      <c r="B7" s="5"/>
      <c r="C7" s="5"/>
      <c r="D7" s="5"/>
      <c r="E7" s="5"/>
      <c r="F7" s="5"/>
      <c r="G7" s="5"/>
      <c r="H7" s="5"/>
      <c r="I7" s="6"/>
    </row>
    <row r="8" spans="1:15" x14ac:dyDescent="0.25">
      <c r="A8" s="7"/>
      <c r="B8" s="8"/>
      <c r="C8" s="8"/>
      <c r="D8" s="8"/>
      <c r="E8" s="8"/>
      <c r="F8" s="8"/>
      <c r="G8" s="8"/>
      <c r="H8" s="8"/>
      <c r="I8" s="42"/>
    </row>
    <row r="9" spans="1:15" x14ac:dyDescent="0.25">
      <c r="A9" s="7" t="s">
        <v>216</v>
      </c>
      <c r="B9" s="8"/>
      <c r="C9" s="178">
        <v>4</v>
      </c>
      <c r="D9" s="8" t="s">
        <v>133</v>
      </c>
      <c r="E9" s="8"/>
      <c r="F9" s="8"/>
      <c r="G9" s="8"/>
      <c r="H9" s="8"/>
      <c r="I9" s="42"/>
    </row>
    <row r="10" spans="1:15" x14ac:dyDescent="0.25">
      <c r="A10" s="7"/>
      <c r="B10" s="8"/>
      <c r="C10" s="8"/>
      <c r="D10" s="8"/>
      <c r="E10" s="8"/>
      <c r="F10" s="8"/>
      <c r="G10" s="8"/>
      <c r="H10" s="8"/>
      <c r="I10" s="42"/>
    </row>
    <row r="11" spans="1:15" x14ac:dyDescent="0.25">
      <c r="A11" s="7" t="s">
        <v>217</v>
      </c>
      <c r="B11" s="8"/>
      <c r="C11" s="50">
        <v>300000</v>
      </c>
      <c r="D11" s="8" t="s">
        <v>79</v>
      </c>
      <c r="E11" s="8"/>
      <c r="F11" s="8"/>
      <c r="G11" s="8"/>
      <c r="H11" s="8"/>
      <c r="I11" s="42"/>
    </row>
    <row r="12" spans="1:15" x14ac:dyDescent="0.25">
      <c r="A12" s="7"/>
      <c r="B12" s="8"/>
      <c r="C12" s="8"/>
      <c r="D12" s="8"/>
      <c r="E12" s="8"/>
      <c r="F12" s="8"/>
      <c r="G12" s="8"/>
      <c r="H12" s="8"/>
      <c r="I12" s="42"/>
    </row>
    <row r="13" spans="1:15" x14ac:dyDescent="0.25">
      <c r="A13" s="7" t="s">
        <v>218</v>
      </c>
      <c r="B13" s="8"/>
      <c r="C13" s="457"/>
      <c r="D13" s="458"/>
      <c r="E13" s="458"/>
      <c r="F13" s="458"/>
      <c r="G13" s="458"/>
      <c r="H13" s="458"/>
      <c r="I13" s="459"/>
    </row>
    <row r="14" spans="1:15" x14ac:dyDescent="0.25">
      <c r="A14" s="7"/>
      <c r="B14" s="8"/>
      <c r="C14" s="460"/>
      <c r="D14" s="461"/>
      <c r="E14" s="461"/>
      <c r="F14" s="461"/>
      <c r="G14" s="461"/>
      <c r="H14" s="461"/>
      <c r="I14" s="462"/>
    </row>
    <row r="15" spans="1:15" x14ac:dyDescent="0.25">
      <c r="A15" s="7"/>
      <c r="B15" s="8"/>
      <c r="C15" s="460"/>
      <c r="D15" s="461"/>
      <c r="E15" s="461"/>
      <c r="F15" s="461"/>
      <c r="G15" s="461"/>
      <c r="H15" s="461"/>
      <c r="I15" s="462"/>
    </row>
    <row r="16" spans="1:15" x14ac:dyDescent="0.25">
      <c r="A16" s="7"/>
      <c r="B16" s="8"/>
      <c r="C16" s="460"/>
      <c r="D16" s="461"/>
      <c r="E16" s="461"/>
      <c r="F16" s="461"/>
      <c r="G16" s="461"/>
      <c r="H16" s="461"/>
      <c r="I16" s="462"/>
    </row>
    <row r="17" spans="1:9" x14ac:dyDescent="0.25">
      <c r="A17" s="7"/>
      <c r="B17" s="8"/>
      <c r="C17" s="463"/>
      <c r="D17" s="464"/>
      <c r="E17" s="464"/>
      <c r="F17" s="464"/>
      <c r="G17" s="464"/>
      <c r="H17" s="464"/>
      <c r="I17" s="465"/>
    </row>
    <row r="18" spans="1:9" x14ac:dyDescent="0.25">
      <c r="A18" s="26"/>
      <c r="B18" s="27"/>
      <c r="C18" s="27"/>
      <c r="D18" s="27"/>
      <c r="E18" s="27"/>
      <c r="F18" s="27"/>
      <c r="G18" s="27"/>
      <c r="H18" s="27"/>
      <c r="I18" s="52"/>
    </row>
    <row r="19" spans="1:9" x14ac:dyDescent="0.25">
      <c r="A19" s="51"/>
      <c r="B19" s="5"/>
      <c r="C19" s="5"/>
      <c r="D19" s="5"/>
      <c r="E19" s="5"/>
      <c r="F19" s="5"/>
      <c r="G19" s="5"/>
      <c r="H19" s="5"/>
      <c r="I19" s="6"/>
    </row>
    <row r="20" spans="1:9" ht="18" customHeight="1" x14ac:dyDescent="0.25">
      <c r="A20" s="7" t="s">
        <v>94</v>
      </c>
      <c r="B20" s="179"/>
      <c r="C20" s="8"/>
      <c r="D20" s="419">
        <f>'Resumen costos'!C11-D21</f>
        <v>6</v>
      </c>
      <c r="E20" s="8"/>
      <c r="F20" s="8"/>
      <c r="G20" s="8"/>
      <c r="H20" s="8"/>
      <c r="I20" s="42"/>
    </row>
    <row r="21" spans="1:9" ht="18" customHeight="1" x14ac:dyDescent="0.25">
      <c r="A21" s="7" t="s">
        <v>236</v>
      </c>
      <c r="B21" s="179"/>
      <c r="C21" s="8"/>
      <c r="D21" s="419">
        <f>'Resumen costos'!F11</f>
        <v>4</v>
      </c>
      <c r="E21" s="8"/>
      <c r="F21" s="8"/>
      <c r="G21" s="8"/>
      <c r="H21" s="8"/>
      <c r="I21" s="42"/>
    </row>
    <row r="22" spans="1:9" ht="18" customHeight="1" x14ac:dyDescent="0.25">
      <c r="A22" s="7" t="s">
        <v>237</v>
      </c>
      <c r="B22" s="179"/>
      <c r="C22" s="8"/>
      <c r="D22" s="183">
        <v>12</v>
      </c>
      <c r="E22" s="8"/>
      <c r="F22" s="8"/>
      <c r="G22" s="8"/>
      <c r="H22" s="8"/>
      <c r="I22" s="42"/>
    </row>
    <row r="23" spans="1:9" ht="18" customHeight="1" x14ac:dyDescent="0.25">
      <c r="A23" s="7" t="s">
        <v>229</v>
      </c>
      <c r="B23" s="179"/>
      <c r="C23" s="8"/>
      <c r="D23" s="347">
        <f>'Resumen costos'!C12</f>
        <v>2953000</v>
      </c>
      <c r="E23" s="8"/>
      <c r="G23" s="8"/>
      <c r="H23" s="8"/>
      <c r="I23" s="42"/>
    </row>
    <row r="24" spans="1:9" ht="18" customHeight="1" x14ac:dyDescent="0.25">
      <c r="A24" s="8" t="s">
        <v>230</v>
      </c>
      <c r="B24" s="179"/>
      <c r="C24" s="8"/>
      <c r="D24" s="420">
        <f>+D28/D23</f>
        <v>0.12992088453366291</v>
      </c>
      <c r="E24" s="8"/>
      <c r="F24" s="37"/>
      <c r="G24" s="8"/>
      <c r="H24" s="8"/>
      <c r="I24" s="42"/>
    </row>
    <row r="25" spans="1:9" ht="18" customHeight="1" x14ac:dyDescent="0.25">
      <c r="A25" s="7" t="s">
        <v>238</v>
      </c>
      <c r="B25" s="179"/>
      <c r="C25" s="8"/>
      <c r="D25" s="347">
        <f>'Resumen costos'!C16</f>
        <v>3930087.8023338015</v>
      </c>
      <c r="E25" s="8"/>
      <c r="G25" s="8"/>
      <c r="H25" s="8" t="s">
        <v>0</v>
      </c>
      <c r="I25" s="42"/>
    </row>
    <row r="26" spans="1:9" ht="18" customHeight="1" x14ac:dyDescent="0.25">
      <c r="A26" s="7" t="s">
        <v>239</v>
      </c>
      <c r="B26" s="179"/>
      <c r="C26" s="8"/>
      <c r="D26" s="347">
        <f>+D25/D22</f>
        <v>327507.31686115015</v>
      </c>
      <c r="E26" s="8"/>
      <c r="F26" s="8"/>
      <c r="G26" s="8"/>
      <c r="H26" s="8"/>
      <c r="I26" s="42"/>
    </row>
    <row r="27" spans="1:9" ht="18" customHeight="1" x14ac:dyDescent="0.25">
      <c r="A27" s="7" t="s">
        <v>240</v>
      </c>
      <c r="B27" s="179"/>
      <c r="C27" s="8"/>
      <c r="D27" s="347">
        <f>D26/D20</f>
        <v>54584.552810191693</v>
      </c>
      <c r="E27" s="8"/>
      <c r="F27" s="8"/>
      <c r="G27" s="8"/>
      <c r="H27" s="8"/>
      <c r="I27" s="42"/>
    </row>
    <row r="28" spans="1:9" ht="18" customHeight="1" x14ac:dyDescent="0.25">
      <c r="A28" s="7" t="s">
        <v>241</v>
      </c>
      <c r="B28" s="179"/>
      <c r="C28" s="8"/>
      <c r="D28" s="347">
        <f>'Resumen costos'!C45</f>
        <v>383656.37202790659</v>
      </c>
      <c r="E28" s="8"/>
      <c r="F28" s="180"/>
      <c r="G28" s="8"/>
      <c r="H28" s="8"/>
      <c r="I28" s="42"/>
    </row>
    <row r="29" spans="1:9" ht="18" customHeight="1" x14ac:dyDescent="0.25">
      <c r="A29" s="7" t="s">
        <v>232</v>
      </c>
      <c r="B29" s="179"/>
      <c r="C29" s="8"/>
      <c r="D29" s="419">
        <f>D28/D22</f>
        <v>31971.364335658884</v>
      </c>
      <c r="E29" s="8"/>
      <c r="F29" s="8"/>
      <c r="G29" s="8"/>
      <c r="H29" s="8"/>
      <c r="I29" s="42"/>
    </row>
    <row r="30" spans="1:9" ht="18" customHeight="1" x14ac:dyDescent="0.25">
      <c r="A30" s="57" t="s">
        <v>242</v>
      </c>
      <c r="B30" s="179"/>
      <c r="C30" s="8"/>
      <c r="D30" s="420">
        <f>D25/D23</f>
        <v>1.3308797163338306</v>
      </c>
      <c r="E30" s="8"/>
      <c r="F30" s="8"/>
      <c r="G30" s="8"/>
      <c r="H30" s="8"/>
      <c r="I30" s="42"/>
    </row>
    <row r="31" spans="1:9" ht="18" customHeight="1" x14ac:dyDescent="0.25">
      <c r="A31" s="7" t="s">
        <v>243</v>
      </c>
      <c r="B31" s="179"/>
      <c r="C31" s="8"/>
      <c r="D31" s="347">
        <f>'Resumen costos'!C14</f>
        <v>300000</v>
      </c>
      <c r="E31" s="8"/>
      <c r="I31" s="42"/>
    </row>
    <row r="32" spans="1:9" ht="18" customHeight="1" x14ac:dyDescent="0.25">
      <c r="A32" s="7" t="s">
        <v>231</v>
      </c>
      <c r="B32" s="179"/>
      <c r="C32" s="8"/>
      <c r="D32" s="421">
        <f>'Resumen costos'!C15</f>
        <v>13.100292674446004</v>
      </c>
      <c r="E32" s="8"/>
      <c r="I32" s="181"/>
    </row>
    <row r="33" spans="1:9" ht="18" customHeight="1" x14ac:dyDescent="0.25">
      <c r="A33" s="7" t="s">
        <v>245</v>
      </c>
      <c r="B33" s="179"/>
      <c r="C33" s="8"/>
      <c r="D33" s="420">
        <f>'Resumen costos'!C19/'Resumen costos'!C16</f>
        <v>0.14995718776459924</v>
      </c>
      <c r="E33" s="8"/>
      <c r="F33" s="8"/>
      <c r="G33" s="8"/>
      <c r="H33" s="8"/>
      <c r="I33" s="42"/>
    </row>
    <row r="34" spans="1:9" ht="18" customHeight="1" x14ac:dyDescent="0.25">
      <c r="A34" s="7" t="s">
        <v>233</v>
      </c>
      <c r="B34" s="179"/>
      <c r="C34" s="8"/>
      <c r="D34" s="347">
        <f>Harvester!L61+Forwarder!K58+SUM(Administración!G10:G24)</f>
        <v>32.799999999999997</v>
      </c>
      <c r="E34" s="8"/>
      <c r="F34" s="8"/>
      <c r="G34" s="8"/>
      <c r="H34" s="8"/>
      <c r="I34" s="42"/>
    </row>
    <row r="35" spans="1:9" ht="18" customHeight="1" x14ac:dyDescent="0.25">
      <c r="A35" s="7" t="s">
        <v>246</v>
      </c>
      <c r="B35" s="179"/>
      <c r="C35" s="8"/>
      <c r="D35" s="347">
        <f>D34/D20</f>
        <v>5.4666666666666659</v>
      </c>
      <c r="E35" s="8"/>
      <c r="F35" s="8"/>
      <c r="G35" s="8"/>
      <c r="H35" s="8"/>
      <c r="I35" s="42"/>
    </row>
    <row r="36" spans="1:9" ht="18" customHeight="1" x14ac:dyDescent="0.25">
      <c r="A36" s="7" t="s">
        <v>244</v>
      </c>
      <c r="B36" s="179"/>
      <c r="C36" s="8"/>
      <c r="D36" s="347">
        <f>'Resumen costos'!C43</f>
        <v>691089.90204291733</v>
      </c>
      <c r="E36" s="8"/>
      <c r="F36" s="8"/>
      <c r="G36" s="8"/>
      <c r="H36" s="8"/>
      <c r="I36" s="42"/>
    </row>
    <row r="37" spans="1:9" x14ac:dyDescent="0.25">
      <c r="A37" s="7"/>
      <c r="B37" s="179"/>
      <c r="C37" s="8"/>
      <c r="D37" s="401"/>
      <c r="E37" s="8"/>
      <c r="F37" s="8"/>
      <c r="G37" s="8"/>
      <c r="H37" s="8"/>
      <c r="I37" s="42"/>
    </row>
    <row r="38" spans="1:9" x14ac:dyDescent="0.25">
      <c r="A38" s="51"/>
      <c r="B38" s="182"/>
      <c r="C38" s="5"/>
      <c r="D38" s="5"/>
      <c r="E38" s="5"/>
      <c r="F38" s="5"/>
      <c r="G38" s="5"/>
      <c r="H38" s="5"/>
      <c r="I38" s="6"/>
    </row>
  </sheetData>
  <mergeCells count="1">
    <mergeCell ref="C13:I17"/>
  </mergeCells>
  <phoneticPr fontId="0" type="noConversion"/>
  <pageMargins left="0.75" right="0.75" top="1" bottom="1" header="0.5" footer="0.5"/>
  <pageSetup scale="8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Q63"/>
  <sheetViews>
    <sheetView showGridLines="0" topLeftCell="A24" zoomScale="75" workbookViewId="0">
      <selection activeCell="F48" sqref="F48"/>
    </sheetView>
  </sheetViews>
  <sheetFormatPr baseColWidth="10" defaultColWidth="9.140625" defaultRowHeight="15" x14ac:dyDescent="0.25"/>
  <cols>
    <col min="1" max="1" width="32.140625" style="3" bestFit="1" customWidth="1"/>
    <col min="2" max="2" width="12.5703125" style="3" bestFit="1" customWidth="1"/>
    <col min="3" max="3" width="14.85546875" style="3" customWidth="1"/>
    <col min="4" max="6" width="25.7109375" style="3" customWidth="1"/>
    <col min="7" max="7" width="12.140625" style="3" bestFit="1" customWidth="1"/>
    <col min="8" max="8" width="12" style="3" customWidth="1"/>
    <col min="9" max="11" width="9.140625" style="3"/>
    <col min="12" max="12" width="11.28515625" style="3" customWidth="1"/>
    <col min="13" max="16384" width="9.140625" style="3"/>
  </cols>
  <sheetData>
    <row r="1" spans="1:15" s="184" customFormat="1" ht="15.75" x14ac:dyDescent="0.25">
      <c r="A1" s="448" t="s">
        <v>25</v>
      </c>
      <c r="B1" s="449" t="str">
        <f>CONCATENATE('Matriz de flota'!A8," y ",'Matriz de flota'!A9)</f>
        <v>Hv1 con C2 y Fw1</v>
      </c>
      <c r="C1" s="449"/>
      <c r="D1" s="450"/>
      <c r="E1" s="404"/>
      <c r="F1" s="404"/>
      <c r="G1" s="404"/>
    </row>
    <row r="2" spans="1:15" s="184" customFormat="1" ht="15.75" x14ac:dyDescent="0.25">
      <c r="A2" s="448" t="s">
        <v>99</v>
      </c>
      <c r="B2" s="449" t="str">
        <f>CONCATENATE(Harvester!B2," y ",Forwarder!B2)</f>
        <v>Tala rasa pulpa descortezado total y Extracción pulpa</v>
      </c>
      <c r="C2" s="449"/>
      <c r="D2" s="450"/>
      <c r="E2" s="404"/>
      <c r="F2" s="404"/>
      <c r="G2" s="404"/>
    </row>
    <row r="3" spans="1:15" s="184" customFormat="1" ht="15.75" x14ac:dyDescent="0.25">
      <c r="A3" s="448" t="s">
        <v>26</v>
      </c>
      <c r="B3" s="449">
        <f>'Matriz de flota'!B3</f>
        <v>0</v>
      </c>
      <c r="C3" s="449"/>
      <c r="D3" s="450"/>
      <c r="E3" s="404"/>
      <c r="F3" s="404"/>
      <c r="G3" s="404"/>
    </row>
    <row r="4" spans="1:15" s="184" customFormat="1" ht="15.75" x14ac:dyDescent="0.25">
      <c r="A4" s="448" t="s">
        <v>27</v>
      </c>
      <c r="B4" s="449">
        <f>'Matriz de flota'!B4</f>
        <v>0</v>
      </c>
      <c r="C4" s="449"/>
      <c r="D4" s="450"/>
      <c r="E4" s="404"/>
      <c r="F4" s="404"/>
      <c r="G4" s="404"/>
    </row>
    <row r="5" spans="1:15" s="184" customFormat="1" ht="15.75" x14ac:dyDescent="0.25">
      <c r="A5" s="448" t="s">
        <v>11</v>
      </c>
      <c r="B5" s="449">
        <f>'Matriz de flota'!B5</f>
        <v>0</v>
      </c>
      <c r="C5" s="449"/>
      <c r="D5" s="449"/>
      <c r="E5" s="405"/>
      <c r="F5" s="405"/>
      <c r="G5" s="406"/>
      <c r="H5" s="403"/>
      <c r="I5" s="403"/>
      <c r="J5" s="403"/>
      <c r="K5" s="403"/>
      <c r="L5" s="403"/>
      <c r="M5" s="403"/>
      <c r="N5" s="403"/>
      <c r="O5" s="403"/>
    </row>
    <row r="6" spans="1:15" s="184" customFormat="1" ht="15.75" x14ac:dyDescent="0.25">
      <c r="A6" s="409"/>
      <c r="B6" s="405"/>
      <c r="C6" s="405"/>
      <c r="D6" s="405"/>
      <c r="E6" s="405"/>
      <c r="F6" s="405"/>
      <c r="G6" s="406"/>
      <c r="H6" s="403"/>
      <c r="I6" s="403"/>
      <c r="J6" s="403"/>
      <c r="K6" s="403"/>
      <c r="L6" s="403"/>
      <c r="M6" s="403"/>
      <c r="N6" s="403"/>
      <c r="O6" s="403"/>
    </row>
    <row r="7" spans="1:15" s="184" customFormat="1" ht="15.75" x14ac:dyDescent="0.25">
      <c r="A7" s="448" t="s">
        <v>234</v>
      </c>
      <c r="B7" s="451"/>
      <c r="C7" s="451"/>
      <c r="D7" s="407"/>
      <c r="E7" s="407"/>
      <c r="F7" s="408"/>
    </row>
    <row r="8" spans="1:15" s="184" customFormat="1" ht="15.75" x14ac:dyDescent="0.25">
      <c r="A8" s="453" t="s">
        <v>124</v>
      </c>
      <c r="B8" s="453"/>
      <c r="C8" s="104">
        <f>C14</f>
        <v>300000</v>
      </c>
      <c r="D8" s="407"/>
      <c r="E8" s="407"/>
      <c r="F8" s="407"/>
    </row>
    <row r="9" spans="1:15" ht="15" customHeight="1" x14ac:dyDescent="0.25">
      <c r="C9" s="8"/>
      <c r="D9" s="40"/>
      <c r="E9" s="40"/>
    </row>
    <row r="10" spans="1:15" ht="30" customHeight="1" x14ac:dyDescent="0.25">
      <c r="B10" s="250" t="s">
        <v>8</v>
      </c>
      <c r="C10" s="250" t="s">
        <v>5</v>
      </c>
      <c r="D10" s="250" t="str">
        <f>Harvester!B1</f>
        <v>Hv1 con C2</v>
      </c>
      <c r="E10" s="250" t="str">
        <f>+Forwarder!B1</f>
        <v>Fw1</v>
      </c>
      <c r="F10" s="250" t="s">
        <v>176</v>
      </c>
    </row>
    <row r="11" spans="1:15" ht="15" customHeight="1" x14ac:dyDescent="0.25">
      <c r="A11" s="251" t="s">
        <v>94</v>
      </c>
      <c r="B11" s="251"/>
      <c r="C11" s="100">
        <f>SUM(D11:F11)</f>
        <v>10</v>
      </c>
      <c r="D11" s="266">
        <f>Harvester!L60</f>
        <v>4</v>
      </c>
      <c r="E11" s="267">
        <f>+Forwarder!K57</f>
        <v>2</v>
      </c>
      <c r="F11" s="268">
        <f>Administración!E39</f>
        <v>4</v>
      </c>
    </row>
    <row r="12" spans="1:15" ht="15" customHeight="1" x14ac:dyDescent="0.25">
      <c r="A12" s="135" t="s">
        <v>221</v>
      </c>
      <c r="B12" s="135"/>
      <c r="C12" s="95">
        <f>SUM(D12:F12)</f>
        <v>2953000</v>
      </c>
      <c r="D12" s="269">
        <f>+Harvester!L64</f>
        <v>2100000</v>
      </c>
      <c r="E12" s="270">
        <f>+Forwarder!K61</f>
        <v>700000</v>
      </c>
      <c r="F12" s="270">
        <f>Administración!F49</f>
        <v>153000</v>
      </c>
    </row>
    <row r="13" spans="1:15" ht="15" customHeight="1" x14ac:dyDescent="0.25">
      <c r="A13" s="252" t="s">
        <v>144</v>
      </c>
      <c r="B13" s="252"/>
      <c r="C13" s="95">
        <f>SUM(D13:E13)</f>
        <v>24210.431999999997</v>
      </c>
      <c r="D13" s="271">
        <f>+Harvester!L63</f>
        <v>16243.199999999999</v>
      </c>
      <c r="E13" s="272">
        <f>+Forwarder!K60</f>
        <v>7967.2319999999991</v>
      </c>
      <c r="F13" s="130"/>
    </row>
    <row r="14" spans="1:15" ht="15" customHeight="1" x14ac:dyDescent="0.25">
      <c r="A14" s="252" t="s">
        <v>223</v>
      </c>
      <c r="B14" s="252"/>
      <c r="C14" s="95">
        <f>MIN(D14:E14)</f>
        <v>300000</v>
      </c>
      <c r="D14" s="273">
        <f>Harvester!L51</f>
        <v>300000</v>
      </c>
      <c r="E14" s="274">
        <f>+Forwarder!K46</f>
        <v>300000</v>
      </c>
      <c r="F14" s="275"/>
    </row>
    <row r="15" spans="1:15" ht="15" customHeight="1" x14ac:dyDescent="0.25">
      <c r="A15" s="252" t="s">
        <v>145</v>
      </c>
      <c r="B15" s="252"/>
      <c r="C15" s="380">
        <f>SUM(D15:F15)</f>
        <v>13.100292674446004</v>
      </c>
      <c r="D15" s="276">
        <f>Harvester!L59</f>
        <v>7.854334615629444</v>
      </c>
      <c r="E15" s="277">
        <f>+Forwarder!K56</f>
        <v>2.7414034723538565</v>
      </c>
      <c r="F15" s="278">
        <f>Administración!H96/'Resumen costos'!C14</f>
        <v>2.5045545864627043</v>
      </c>
      <c r="G15" s="170"/>
    </row>
    <row r="16" spans="1:15" ht="15" customHeight="1" x14ac:dyDescent="0.25">
      <c r="A16" s="252" t="s">
        <v>224</v>
      </c>
      <c r="B16" s="253"/>
      <c r="C16" s="95">
        <f>SUM(D16:F16)</f>
        <v>3930087.8023338015</v>
      </c>
      <c r="D16" s="271">
        <f>+Harvester!L66</f>
        <v>2356300.3846888333</v>
      </c>
      <c r="E16" s="272">
        <f>+Forwarder!K63</f>
        <v>822421.04170615692</v>
      </c>
      <c r="F16" s="157">
        <f>Administración!H96</f>
        <v>751366.37593881134</v>
      </c>
      <c r="G16" s="254"/>
    </row>
    <row r="17" spans="1:17" s="8" customFormat="1" ht="15" customHeight="1" x14ac:dyDescent="0.25">
      <c r="A17" s="49"/>
      <c r="B17" s="40"/>
      <c r="C17" s="255"/>
      <c r="D17" s="180"/>
      <c r="E17" s="180"/>
      <c r="F17" s="180"/>
      <c r="G17" s="180"/>
      <c r="H17" s="49"/>
      <c r="I17" s="49"/>
      <c r="J17" s="49"/>
      <c r="K17" s="49"/>
      <c r="L17" s="49"/>
      <c r="M17" s="49"/>
      <c r="N17" s="49"/>
      <c r="O17" s="49"/>
      <c r="P17" s="49"/>
      <c r="Q17" s="49"/>
    </row>
    <row r="18" spans="1:17" ht="15" customHeight="1" x14ac:dyDescent="0.25">
      <c r="A18" s="282" t="s">
        <v>47</v>
      </c>
      <c r="B18" s="256"/>
      <c r="C18" s="257"/>
      <c r="D18" s="258"/>
      <c r="E18" s="258"/>
      <c r="F18" s="259"/>
      <c r="G18" s="254"/>
      <c r="H18" s="388"/>
      <c r="I18" s="388"/>
      <c r="J18" s="388"/>
      <c r="K18" s="388"/>
      <c r="L18" s="388"/>
      <c r="M18" s="388"/>
      <c r="N18" s="388"/>
      <c r="O18" s="388"/>
      <c r="P18" s="388"/>
      <c r="Q18" s="388"/>
    </row>
    <row r="19" spans="1:17" ht="15" customHeight="1" x14ac:dyDescent="0.25">
      <c r="A19" s="42" t="s">
        <v>225</v>
      </c>
      <c r="B19" s="381">
        <f t="shared" ref="B19:B26" si="0">C19/C$8</f>
        <v>1.9644830483531035</v>
      </c>
      <c r="C19" s="107">
        <f t="shared" ref="C19:C25" si="1">SUM(D19:F19)</f>
        <v>589344.91450593108</v>
      </c>
      <c r="D19" s="226">
        <f>+Harvester!E57</f>
        <v>414907.2945143613</v>
      </c>
      <c r="E19" s="226">
        <f>+Forwarder!E56</f>
        <v>174437.61999156978</v>
      </c>
      <c r="F19" s="275"/>
      <c r="G19" s="254"/>
      <c r="H19" s="388"/>
      <c r="I19" s="388"/>
      <c r="J19" s="388"/>
      <c r="K19" s="388"/>
      <c r="L19" s="388"/>
      <c r="M19" s="388"/>
      <c r="N19" s="388"/>
      <c r="O19" s="388"/>
      <c r="P19" s="388"/>
      <c r="Q19" s="388"/>
    </row>
    <row r="20" spans="1:17" ht="15" customHeight="1" x14ac:dyDescent="0.25">
      <c r="A20" s="42" t="s">
        <v>146</v>
      </c>
      <c r="B20" s="381">
        <f t="shared" si="0"/>
        <v>0.20701148159999996</v>
      </c>
      <c r="C20" s="107">
        <f t="shared" si="1"/>
        <v>62103.444479999991</v>
      </c>
      <c r="D20" s="226">
        <f>+Harvester!E58</f>
        <v>46049.471999999994</v>
      </c>
      <c r="E20" s="226">
        <f>+Forwarder!E57</f>
        <v>16053.972479999997</v>
      </c>
      <c r="F20" s="275"/>
      <c r="G20" s="254"/>
      <c r="H20" s="388"/>
      <c r="I20" s="388"/>
      <c r="J20" s="388"/>
      <c r="K20" s="388"/>
      <c r="L20" s="388"/>
      <c r="M20" s="388"/>
      <c r="N20" s="388"/>
      <c r="O20" s="388"/>
      <c r="P20" s="388"/>
      <c r="Q20" s="388"/>
    </row>
    <row r="21" spans="1:17" ht="15" customHeight="1" x14ac:dyDescent="0.25">
      <c r="A21" s="123" t="s">
        <v>53</v>
      </c>
      <c r="B21" s="381">
        <f t="shared" si="0"/>
        <v>0.26863511039999999</v>
      </c>
      <c r="C21" s="107">
        <f t="shared" si="1"/>
        <v>80590.533119999993</v>
      </c>
      <c r="D21" s="226">
        <f>+Harvester!E59</f>
        <v>64377.215999999993</v>
      </c>
      <c r="E21" s="226">
        <f>+Forwarder!E58</f>
        <v>16213.31712</v>
      </c>
      <c r="F21" s="275"/>
      <c r="G21" s="254"/>
      <c r="H21" s="388"/>
      <c r="I21" s="388"/>
      <c r="J21" s="388"/>
      <c r="K21" s="388"/>
      <c r="L21" s="388"/>
      <c r="M21" s="388"/>
      <c r="N21" s="388"/>
      <c r="O21" s="388"/>
      <c r="P21" s="388"/>
      <c r="Q21" s="388"/>
    </row>
    <row r="22" spans="1:17" ht="15" customHeight="1" x14ac:dyDescent="0.25">
      <c r="A22" s="42" t="s">
        <v>148</v>
      </c>
      <c r="B22" s="381">
        <f t="shared" si="0"/>
        <v>0.64151261516228109</v>
      </c>
      <c r="C22" s="107">
        <f t="shared" si="1"/>
        <v>192453.78454868431</v>
      </c>
      <c r="D22" s="226">
        <f>+Harvester!E61</f>
        <v>128302.5230324562</v>
      </c>
      <c r="E22" s="226">
        <f>+Forwarder!E60</f>
        <v>64151.2615162281</v>
      </c>
      <c r="F22" s="275"/>
      <c r="G22" s="254"/>
      <c r="H22" s="388"/>
      <c r="I22" s="388"/>
      <c r="J22" s="388"/>
      <c r="K22" s="388"/>
      <c r="L22" s="388"/>
      <c r="M22" s="388"/>
      <c r="N22" s="388"/>
      <c r="O22" s="388"/>
      <c r="P22" s="388"/>
      <c r="Q22" s="388"/>
    </row>
    <row r="23" spans="1:17" ht="15" customHeight="1" x14ac:dyDescent="0.25">
      <c r="A23" s="42" t="s">
        <v>150</v>
      </c>
      <c r="B23" s="381">
        <f t="shared" si="0"/>
        <v>0.18</v>
      </c>
      <c r="C23" s="107">
        <f t="shared" si="1"/>
        <v>54000</v>
      </c>
      <c r="D23" s="226">
        <f>+Harvester!E54</f>
        <v>40000</v>
      </c>
      <c r="E23" s="226">
        <f>+Forwarder!E53</f>
        <v>14000</v>
      </c>
      <c r="F23" s="275"/>
      <c r="G23" s="254"/>
      <c r="H23" s="388"/>
      <c r="I23" s="388"/>
      <c r="J23" s="388"/>
      <c r="K23" s="388"/>
      <c r="L23" s="388"/>
      <c r="M23" s="388"/>
      <c r="N23" s="388"/>
      <c r="O23" s="388"/>
      <c r="P23" s="388"/>
      <c r="Q23" s="388"/>
    </row>
    <row r="24" spans="1:17" ht="15" customHeight="1" x14ac:dyDescent="0.25">
      <c r="A24" s="42" t="s">
        <v>60</v>
      </c>
      <c r="B24" s="381">
        <f t="shared" si="0"/>
        <v>0.35083333333333333</v>
      </c>
      <c r="C24" s="107">
        <f t="shared" si="1"/>
        <v>105250</v>
      </c>
      <c r="D24" s="226">
        <f>+Harvester!E55</f>
        <v>78000</v>
      </c>
      <c r="E24" s="226">
        <f>+Forwarder!E54</f>
        <v>27250</v>
      </c>
      <c r="F24" s="275"/>
      <c r="G24" s="254"/>
      <c r="H24" s="388"/>
      <c r="I24" s="388"/>
      <c r="J24" s="388"/>
      <c r="K24" s="388"/>
      <c r="L24" s="388"/>
      <c r="M24" s="388"/>
      <c r="N24" s="388"/>
      <c r="O24" s="388"/>
      <c r="P24" s="388"/>
      <c r="Q24" s="388"/>
    </row>
    <row r="25" spans="1:17" ht="15" customHeight="1" x14ac:dyDescent="0.25">
      <c r="A25" s="42" t="s">
        <v>71</v>
      </c>
      <c r="B25" s="381">
        <f t="shared" si="0"/>
        <v>0</v>
      </c>
      <c r="C25" s="107">
        <f t="shared" si="1"/>
        <v>0</v>
      </c>
      <c r="D25" s="226">
        <f>+Harvester!E62</f>
        <v>0</v>
      </c>
      <c r="E25" s="226">
        <f>+Forwarder!E61</f>
        <v>0</v>
      </c>
      <c r="F25" s="275"/>
      <c r="G25" s="254"/>
      <c r="H25" s="388"/>
      <c r="I25" s="388"/>
      <c r="J25" s="388"/>
      <c r="K25" s="388"/>
      <c r="L25" s="388"/>
      <c r="M25" s="388"/>
      <c r="N25" s="388"/>
      <c r="O25" s="388"/>
      <c r="P25" s="388"/>
      <c r="Q25" s="388"/>
    </row>
    <row r="26" spans="1:17" ht="15" customHeight="1" x14ac:dyDescent="0.25">
      <c r="A26" s="42" t="s">
        <v>220</v>
      </c>
      <c r="B26" s="381">
        <f t="shared" si="0"/>
        <v>0.86850312196584434</v>
      </c>
      <c r="C26" s="107">
        <f>SUM(D26:F26)</f>
        <v>260550.93658975331</v>
      </c>
      <c r="D26" s="226">
        <f>+Harvester!E63</f>
        <v>193139.37579416667</v>
      </c>
      <c r="E26" s="226">
        <f>+Forwarder!E62</f>
        <v>67411.560795586629</v>
      </c>
      <c r="F26" s="275"/>
      <c r="G26" s="254"/>
      <c r="H26" s="388"/>
      <c r="I26" s="388"/>
      <c r="J26" s="388"/>
      <c r="K26" s="388"/>
      <c r="L26" s="388"/>
      <c r="M26" s="388"/>
      <c r="N26" s="388"/>
      <c r="O26" s="388"/>
      <c r="P26" s="388"/>
      <c r="Q26" s="388"/>
    </row>
    <row r="27" spans="1:17" ht="15" customHeight="1" x14ac:dyDescent="0.25">
      <c r="A27" s="283" t="s">
        <v>222</v>
      </c>
      <c r="B27" s="382">
        <f>C27/C$8</f>
        <v>4.4809787108145622</v>
      </c>
      <c r="C27" s="72">
        <f>SUM(D27:F27)</f>
        <v>1344293.6132443687</v>
      </c>
      <c r="D27" s="269">
        <f>SUM(D19:D26)</f>
        <v>964775.88134098414</v>
      </c>
      <c r="E27" s="270">
        <f>SUM(E19:E26)</f>
        <v>379517.7319033845</v>
      </c>
      <c r="F27" s="279">
        <f>SUM(F19:F25)</f>
        <v>0</v>
      </c>
      <c r="G27" s="254"/>
      <c r="H27" s="395"/>
      <c r="I27" s="388"/>
      <c r="J27" s="388"/>
      <c r="K27" s="388"/>
      <c r="L27" s="388"/>
      <c r="M27" s="388"/>
      <c r="N27" s="388"/>
      <c r="O27" s="388"/>
      <c r="P27" s="388"/>
      <c r="Q27" s="388"/>
    </row>
    <row r="28" spans="1:17" ht="15" customHeight="1" x14ac:dyDescent="0.25">
      <c r="A28" s="284" t="s">
        <v>176</v>
      </c>
      <c r="B28" s="260"/>
      <c r="C28" s="261"/>
      <c r="D28" s="261"/>
      <c r="E28" s="261"/>
      <c r="F28" s="262"/>
      <c r="G28" s="254"/>
      <c r="H28" s="395"/>
      <c r="I28" s="388"/>
      <c r="J28" s="388"/>
      <c r="K28" s="388"/>
      <c r="L28" s="388"/>
      <c r="M28" s="388"/>
      <c r="N28" s="388"/>
      <c r="O28" s="388"/>
      <c r="P28" s="388"/>
      <c r="Q28" s="388"/>
    </row>
    <row r="29" spans="1:17" ht="15" customHeight="1" x14ac:dyDescent="0.25">
      <c r="A29" s="232" t="s">
        <v>148</v>
      </c>
      <c r="B29" s="383">
        <f>C29/C$8</f>
        <v>1.710700307099416</v>
      </c>
      <c r="C29" s="107">
        <f>SUM(D29:F29)</f>
        <v>513210.0921298248</v>
      </c>
      <c r="D29" s="387"/>
      <c r="E29" s="226"/>
      <c r="F29" s="275">
        <f>Administración!H27</f>
        <v>513210.0921298248</v>
      </c>
      <c r="G29" s="254"/>
      <c r="H29" s="388"/>
      <c r="I29" s="388"/>
      <c r="J29" s="388"/>
      <c r="K29" s="388"/>
      <c r="L29" s="388"/>
      <c r="M29" s="388"/>
      <c r="N29" s="388"/>
      <c r="O29" s="388"/>
      <c r="P29" s="388"/>
      <c r="Q29" s="388"/>
    </row>
    <row r="30" spans="1:17" ht="15" customHeight="1" x14ac:dyDescent="0.25">
      <c r="A30" s="232" t="s">
        <v>192</v>
      </c>
      <c r="B30" s="383">
        <f>C30/C$8</f>
        <v>0.20298081386732048</v>
      </c>
      <c r="C30" s="107">
        <f>SUM(D30:F30)</f>
        <v>60894.24416019614</v>
      </c>
      <c r="D30" s="387"/>
      <c r="E30" s="226"/>
      <c r="F30" s="275">
        <f>+Administración!E67</f>
        <v>60894.24416019614</v>
      </c>
      <c r="G30" s="254"/>
      <c r="H30" s="388"/>
      <c r="I30" s="388"/>
      <c r="J30" s="388"/>
      <c r="K30" s="388"/>
      <c r="L30" s="388"/>
      <c r="M30" s="388"/>
      <c r="N30" s="388"/>
      <c r="O30" s="388"/>
      <c r="P30" s="396"/>
      <c r="Q30" s="388"/>
    </row>
    <row r="31" spans="1:17" ht="15" customHeight="1" x14ac:dyDescent="0.25">
      <c r="A31" s="232" t="s">
        <v>177</v>
      </c>
      <c r="B31" s="383">
        <f>C31/C$8</f>
        <v>5.8409104594448119E-2</v>
      </c>
      <c r="C31" s="107">
        <f>SUM(D31:F31)</f>
        <v>17522.731378334436</v>
      </c>
      <c r="D31" s="387"/>
      <c r="E31" s="226"/>
      <c r="F31" s="275">
        <f>Administración!F82</f>
        <v>17522.731378334436</v>
      </c>
      <c r="G31" s="254"/>
      <c r="H31" s="388"/>
      <c r="I31" s="388"/>
      <c r="J31" s="388"/>
      <c r="K31" s="388"/>
      <c r="L31" s="388"/>
      <c r="M31" s="388"/>
      <c r="N31" s="388"/>
      <c r="O31" s="388"/>
      <c r="P31" s="388"/>
      <c r="Q31" s="388"/>
    </row>
    <row r="32" spans="1:17" ht="15" customHeight="1" x14ac:dyDescent="0.25">
      <c r="A32" s="42" t="s">
        <v>189</v>
      </c>
      <c r="B32" s="381">
        <f>C32/C$8</f>
        <v>0.29581353383417774</v>
      </c>
      <c r="C32" s="107">
        <f>SUM(D32:F32)</f>
        <v>88744.060150253325</v>
      </c>
      <c r="D32" s="387"/>
      <c r="E32" s="226"/>
      <c r="F32" s="275">
        <f>Administración!H94-Administración!G90</f>
        <v>88744.060150253325</v>
      </c>
      <c r="G32" s="254"/>
      <c r="H32" s="388"/>
      <c r="I32" s="388"/>
      <c r="J32" s="388"/>
      <c r="K32" s="388"/>
      <c r="L32" s="388"/>
      <c r="M32" s="388"/>
      <c r="N32" s="388"/>
      <c r="O32" s="388"/>
      <c r="P32" s="388"/>
      <c r="Q32" s="388"/>
    </row>
    <row r="33" spans="1:17" ht="15" customHeight="1" x14ac:dyDescent="0.25">
      <c r="A33" s="285" t="s">
        <v>226</v>
      </c>
      <c r="B33" s="99">
        <f>C33/C$8</f>
        <v>2.2679037593953626</v>
      </c>
      <c r="C33" s="95">
        <f>SUM(D33:F33)</f>
        <v>680371.12781860877</v>
      </c>
      <c r="D33" s="271"/>
      <c r="E33" s="272"/>
      <c r="F33" s="157">
        <f>SUM(F29:F32)</f>
        <v>680371.12781860877</v>
      </c>
      <c r="G33" s="254"/>
      <c r="H33" s="388"/>
      <c r="I33" s="388"/>
      <c r="J33" s="388"/>
      <c r="K33" s="388"/>
      <c r="L33" s="388"/>
      <c r="M33" s="388"/>
      <c r="N33" s="388"/>
      <c r="O33" s="388"/>
      <c r="P33" s="388"/>
      <c r="Q33" s="388"/>
    </row>
    <row r="34" spans="1:17" ht="15" customHeight="1" x14ac:dyDescent="0.25">
      <c r="A34" s="284" t="s">
        <v>149</v>
      </c>
      <c r="B34" s="260"/>
      <c r="C34" s="261"/>
      <c r="D34" s="227"/>
      <c r="E34" s="227"/>
      <c r="F34" s="263"/>
      <c r="G34" s="254"/>
      <c r="H34" s="388"/>
      <c r="I34" s="388"/>
      <c r="J34" s="388"/>
      <c r="K34" s="388"/>
      <c r="L34" s="388"/>
      <c r="M34" s="388"/>
      <c r="N34" s="388"/>
      <c r="O34" s="388"/>
      <c r="P34" s="388"/>
      <c r="Q34" s="388"/>
    </row>
    <row r="35" spans="1:17" ht="15" customHeight="1" x14ac:dyDescent="0.25">
      <c r="A35" s="264" t="str">
        <f>Harvester!B$1</f>
        <v>Hv1 con C2</v>
      </c>
      <c r="B35" s="384">
        <f>C35/C$8</f>
        <v>2.1820032000000005</v>
      </c>
      <c r="C35" s="385">
        <f>SUM(D35:F35)</f>
        <v>654600.96000000008</v>
      </c>
      <c r="D35" s="385">
        <f>+Harvester!E60</f>
        <v>654600.96000000008</v>
      </c>
      <c r="E35" s="386"/>
      <c r="F35" s="390"/>
      <c r="G35" s="254"/>
      <c r="H35" s="388"/>
      <c r="I35" s="388"/>
      <c r="J35" s="388"/>
      <c r="K35" s="388"/>
      <c r="L35" s="388"/>
      <c r="M35" s="388"/>
      <c r="N35" s="388"/>
      <c r="O35" s="388"/>
      <c r="P35" s="388"/>
      <c r="Q35" s="388"/>
    </row>
    <row r="36" spans="1:17" ht="15" customHeight="1" x14ac:dyDescent="0.25">
      <c r="A36" s="264" t="str">
        <f>+Forwarder!B1</f>
        <v>Fw1</v>
      </c>
      <c r="B36" s="383">
        <f>C36/C$8</f>
        <v>0.58691942399999997</v>
      </c>
      <c r="C36" s="387">
        <f>SUM(D36:F36)</f>
        <v>176075.8272</v>
      </c>
      <c r="D36" s="387"/>
      <c r="E36" s="226">
        <f>+Forwarder!E59</f>
        <v>176075.8272</v>
      </c>
      <c r="F36" s="275"/>
      <c r="G36" s="254"/>
      <c r="H36" s="388"/>
      <c r="I36" s="388"/>
      <c r="J36" s="388"/>
      <c r="K36" s="388"/>
      <c r="L36" s="388"/>
      <c r="M36" s="388"/>
      <c r="N36" s="388"/>
      <c r="O36" s="388"/>
      <c r="P36" s="388"/>
      <c r="Q36" s="388"/>
    </row>
    <row r="37" spans="1:17" ht="15" customHeight="1" x14ac:dyDescent="0.25">
      <c r="A37" s="393"/>
      <c r="B37" s="383"/>
      <c r="C37" s="387"/>
      <c r="D37" s="387"/>
      <c r="E37" s="226"/>
      <c r="F37" s="275"/>
      <c r="G37" s="254"/>
      <c r="H37" s="388"/>
      <c r="I37" s="388"/>
      <c r="J37" s="388"/>
      <c r="K37" s="388"/>
      <c r="L37" s="388"/>
      <c r="M37" s="388"/>
      <c r="N37" s="388"/>
      <c r="O37" s="388"/>
      <c r="P37" s="388"/>
      <c r="Q37" s="388"/>
    </row>
    <row r="38" spans="1:17" ht="15" customHeight="1" x14ac:dyDescent="0.25">
      <c r="A38" s="285" t="s">
        <v>219</v>
      </c>
      <c r="B38" s="99">
        <f>SUM(B35:B37)</f>
        <v>2.7689226240000004</v>
      </c>
      <c r="C38" s="95">
        <f>SUM(D38:F38)</f>
        <v>830676.78720000014</v>
      </c>
      <c r="D38" s="280">
        <f>SUM(D35:D37)</f>
        <v>654600.96000000008</v>
      </c>
      <c r="E38" s="281">
        <f>SUM(E35:E37)</f>
        <v>176075.8272</v>
      </c>
      <c r="F38" s="161">
        <f>SUM(F35:F37)</f>
        <v>0</v>
      </c>
      <c r="G38" s="254"/>
      <c r="H38" s="388"/>
      <c r="I38" s="388"/>
      <c r="J38" s="388"/>
      <c r="K38" s="388"/>
      <c r="L38" s="388"/>
      <c r="M38" s="388"/>
      <c r="N38" s="388"/>
      <c r="O38" s="388"/>
      <c r="P38" s="388"/>
      <c r="Q38" s="388"/>
    </row>
    <row r="39" spans="1:17" ht="15" customHeight="1" x14ac:dyDescent="0.25">
      <c r="A39" s="284" t="s">
        <v>227</v>
      </c>
      <c r="B39" s="260"/>
      <c r="C39" s="261"/>
      <c r="D39" s="261"/>
      <c r="E39" s="261"/>
      <c r="F39" s="262"/>
      <c r="G39" s="254"/>
      <c r="H39" s="395"/>
      <c r="I39" s="388"/>
      <c r="J39" s="388"/>
      <c r="K39" s="388"/>
      <c r="L39" s="388"/>
      <c r="M39" s="388"/>
      <c r="N39" s="388"/>
      <c r="O39" s="388"/>
      <c r="P39" s="388"/>
      <c r="Q39" s="388"/>
    </row>
    <row r="40" spans="1:17" ht="15" customHeight="1" x14ac:dyDescent="0.25">
      <c r="A40" s="265" t="str">
        <f>Harvester!B$1</f>
        <v>Hv1 con C2</v>
      </c>
      <c r="B40" s="384">
        <f>C40/C$8</f>
        <v>1.6838543079828299</v>
      </c>
      <c r="C40" s="389">
        <f t="shared" ref="C40:C45" si="2">SUM(D40:F40)</f>
        <v>505156.29239484895</v>
      </c>
      <c r="D40" s="385">
        <f>+Harvester!E53</f>
        <v>505156.29239484895</v>
      </c>
      <c r="E40" s="386"/>
      <c r="F40" s="390"/>
      <c r="G40" s="254"/>
      <c r="H40" s="388"/>
      <c r="I40" s="388"/>
      <c r="J40" s="388"/>
      <c r="K40" s="388"/>
      <c r="L40" s="388"/>
      <c r="M40" s="388"/>
      <c r="N40" s="388"/>
      <c r="O40" s="388"/>
      <c r="P40" s="388"/>
      <c r="Q40" s="388"/>
    </row>
    <row r="41" spans="1:17" ht="15" customHeight="1" x14ac:dyDescent="0.25">
      <c r="A41" s="264" t="str">
        <f>Forwarder!B1</f>
        <v>Fw1</v>
      </c>
      <c r="B41" s="383">
        <f>C41/C$8</f>
        <v>0.61977869882689474</v>
      </c>
      <c r="C41" s="107">
        <f t="shared" si="2"/>
        <v>185933.60964806841</v>
      </c>
      <c r="D41" s="387"/>
      <c r="E41" s="226">
        <f>+Forwarder!E52</f>
        <v>185933.60964806841</v>
      </c>
      <c r="F41" s="275"/>
      <c r="G41" s="254"/>
      <c r="H41" s="388"/>
      <c r="I41" s="388"/>
      <c r="J41" s="388"/>
      <c r="K41" s="388"/>
      <c r="L41" s="388"/>
      <c r="M41" s="388"/>
      <c r="N41" s="388"/>
      <c r="O41" s="388"/>
      <c r="P41" s="388"/>
      <c r="Q41" s="388"/>
    </row>
    <row r="42" spans="1:17" ht="15" customHeight="1" x14ac:dyDescent="0.25">
      <c r="A42" s="393"/>
      <c r="B42" s="383"/>
      <c r="C42" s="107"/>
      <c r="D42" s="387"/>
      <c r="E42" s="226"/>
      <c r="F42" s="275"/>
      <c r="G42" s="254"/>
      <c r="H42" s="388"/>
      <c r="I42" s="388"/>
      <c r="J42" s="388"/>
      <c r="K42" s="388"/>
      <c r="L42" s="388"/>
      <c r="M42" s="388"/>
      <c r="N42" s="388"/>
      <c r="O42" s="388"/>
      <c r="P42" s="388"/>
      <c r="Q42" s="388"/>
    </row>
    <row r="43" spans="1:17" ht="15" customHeight="1" x14ac:dyDescent="0.25">
      <c r="A43" s="285" t="s">
        <v>228</v>
      </c>
      <c r="B43" s="99">
        <f>C43/C$8</f>
        <v>2.3036330068097244</v>
      </c>
      <c r="C43" s="95">
        <f t="shared" si="2"/>
        <v>691089.90204291733</v>
      </c>
      <c r="D43" s="271">
        <f>SUM(D40:D42)</f>
        <v>505156.29239484895</v>
      </c>
      <c r="E43" s="272">
        <f>SUM(E40:E42)</f>
        <v>185933.60964806841</v>
      </c>
      <c r="F43" s="157">
        <f>SUM(F40:F42)</f>
        <v>0</v>
      </c>
      <c r="G43" s="254"/>
      <c r="H43" s="388"/>
      <c r="I43" s="388"/>
      <c r="J43" s="388"/>
      <c r="K43" s="388"/>
      <c r="L43" s="388"/>
      <c r="M43" s="388"/>
      <c r="N43" s="388"/>
      <c r="O43" s="388"/>
      <c r="P43" s="388"/>
      <c r="Q43" s="388"/>
    </row>
    <row r="44" spans="1:17" ht="15" customHeight="1" x14ac:dyDescent="0.25">
      <c r="A44" s="285" t="s">
        <v>147</v>
      </c>
      <c r="B44" s="99">
        <f>C44/C$8</f>
        <v>11.821438101019648</v>
      </c>
      <c r="C44" s="95">
        <f>SUM(D44:F44)</f>
        <v>3546431.4303058945</v>
      </c>
      <c r="D44" s="280">
        <f>D43+D38+D33+D27</f>
        <v>2124533.1337358332</v>
      </c>
      <c r="E44" s="281">
        <f>E43+E38+E33+E27</f>
        <v>741527.16875145282</v>
      </c>
      <c r="F44" s="161">
        <f>F43+F38+F33+F27</f>
        <v>680371.12781860877</v>
      </c>
      <c r="G44" s="254"/>
    </row>
    <row r="45" spans="1:17" s="184" customFormat="1" ht="15" customHeight="1" x14ac:dyDescent="0.25">
      <c r="A45" s="379" t="s">
        <v>49</v>
      </c>
      <c r="B45" s="391">
        <f>C45/C$8</f>
        <v>1.2788545734263552</v>
      </c>
      <c r="C45" s="397">
        <f t="shared" si="2"/>
        <v>383656.37202790659</v>
      </c>
      <c r="D45" s="398">
        <f>+Harvester!E51</f>
        <v>231767.25095299998</v>
      </c>
      <c r="E45" s="399">
        <f>+Forwarder!E50</f>
        <v>80893.872954703955</v>
      </c>
      <c r="F45" s="400">
        <f>+Administración!G90</f>
        <v>70995.248120202654</v>
      </c>
    </row>
    <row r="46" spans="1:17" ht="15" customHeight="1" x14ac:dyDescent="0.25">
      <c r="D46" s="58"/>
      <c r="E46" s="58"/>
    </row>
    <row r="47" spans="1:17" ht="15" customHeight="1" x14ac:dyDescent="0.25">
      <c r="B47" s="392"/>
      <c r="D47" s="3">
        <f>+D44/C8</f>
        <v>7.0817771124527775</v>
      </c>
      <c r="E47" s="3">
        <f>+E44/C8</f>
        <v>2.4717572291715095</v>
      </c>
      <c r="F47" s="3">
        <f>+F44/C8</f>
        <v>2.2679037593953626</v>
      </c>
    </row>
    <row r="48" spans="1:17" x14ac:dyDescent="0.25">
      <c r="B48" s="170"/>
    </row>
    <row r="51" spans="2:5" x14ac:dyDescent="0.25">
      <c r="B51" s="81"/>
      <c r="C51" s="8"/>
      <c r="D51" s="8"/>
      <c r="E51" s="8"/>
    </row>
    <row r="52" spans="2:5" x14ac:dyDescent="0.25">
      <c r="B52" s="8"/>
      <c r="C52" s="8"/>
      <c r="D52" s="8"/>
      <c r="E52" s="8"/>
    </row>
    <row r="53" spans="2:5" x14ac:dyDescent="0.25">
      <c r="B53" s="8"/>
      <c r="C53" s="8"/>
      <c r="D53" s="40"/>
      <c r="E53" s="40"/>
    </row>
    <row r="54" spans="2:5" x14ac:dyDescent="0.25">
      <c r="B54" s="8"/>
      <c r="C54" s="8"/>
      <c r="D54" s="40"/>
      <c r="E54" s="40"/>
    </row>
    <row r="55" spans="2:5" x14ac:dyDescent="0.25">
      <c r="B55" s="8"/>
      <c r="C55" s="8"/>
      <c r="D55" s="40"/>
      <c r="E55" s="40"/>
    </row>
    <row r="56" spans="2:5" x14ac:dyDescent="0.25">
      <c r="B56" s="8"/>
      <c r="C56" s="8"/>
      <c r="D56" s="40"/>
      <c r="E56" s="40"/>
    </row>
    <row r="57" spans="2:5" x14ac:dyDescent="0.25">
      <c r="B57" s="8"/>
      <c r="C57" s="8"/>
      <c r="D57" s="40"/>
      <c r="E57" s="40"/>
    </row>
    <row r="58" spans="2:5" x14ac:dyDescent="0.25">
      <c r="B58" s="8"/>
      <c r="C58" s="8"/>
      <c r="D58" s="40"/>
      <c r="E58" s="40"/>
    </row>
    <row r="59" spans="2:5" x14ac:dyDescent="0.25">
      <c r="B59" s="8"/>
      <c r="C59" s="8"/>
      <c r="D59" s="40"/>
      <c r="E59" s="40"/>
    </row>
    <row r="60" spans="2:5" x14ac:dyDescent="0.25">
      <c r="B60" s="8"/>
      <c r="C60" s="8"/>
      <c r="D60" s="40"/>
      <c r="E60" s="40"/>
    </row>
    <row r="61" spans="2:5" x14ac:dyDescent="0.25">
      <c r="B61" s="8"/>
      <c r="C61" s="8"/>
      <c r="D61" s="40"/>
      <c r="E61" s="8"/>
    </row>
    <row r="62" spans="2:5" x14ac:dyDescent="0.25">
      <c r="B62" s="8"/>
      <c r="C62" s="8"/>
      <c r="D62" s="40"/>
      <c r="E62" s="8"/>
    </row>
    <row r="63" spans="2:5" x14ac:dyDescent="0.25">
      <c r="B63" s="8"/>
      <c r="C63" s="8"/>
      <c r="D63" s="40"/>
      <c r="E63" s="8"/>
    </row>
  </sheetData>
  <phoneticPr fontId="0" type="noConversion"/>
  <pageMargins left="0.75" right="0.75" top="1" bottom="1" header="0.5" footer="0.5"/>
  <pageSetup scale="41" orientation="portrait" horizontalDpi="200" verticalDpi="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O97"/>
  <sheetViews>
    <sheetView showGridLines="0" topLeftCell="A49" zoomScale="80" zoomScaleNormal="80" workbookViewId="0">
      <selection activeCell="H97" sqref="H97"/>
    </sheetView>
  </sheetViews>
  <sheetFormatPr baseColWidth="10" defaultColWidth="9.140625" defaultRowHeight="15" x14ac:dyDescent="0.25"/>
  <cols>
    <col min="1" max="1" width="11.7109375" style="305" customWidth="1"/>
    <col min="2" max="2" width="4.85546875" style="305" customWidth="1"/>
    <col min="3" max="3" width="30.85546875" style="305" customWidth="1"/>
    <col min="4" max="4" width="12.7109375" style="305" customWidth="1"/>
    <col min="5" max="5" width="17" style="305" customWidth="1"/>
    <col min="6" max="6" width="17.7109375" style="305" customWidth="1"/>
    <col min="7" max="7" width="18.7109375" style="305" customWidth="1"/>
    <col min="8" max="8" width="14.7109375" style="305" customWidth="1"/>
    <col min="9" max="9" width="12.28515625" style="305" bestFit="1" customWidth="1"/>
    <col min="10" max="10" width="9.140625" style="305"/>
    <col min="11" max="11" width="12" style="305" bestFit="1" customWidth="1"/>
    <col min="12" max="16384" width="9.140625" style="305"/>
  </cols>
  <sheetData>
    <row r="1" spans="1:15" s="184" customFormat="1" ht="15.75" x14ac:dyDescent="0.25">
      <c r="A1" s="448" t="s">
        <v>25</v>
      </c>
      <c r="B1" s="449" t="str">
        <f>CONCATENATE('Matriz de flota'!A8," y ",'Matriz de flota'!A9)</f>
        <v>Hv1 con C2 y Fw1</v>
      </c>
      <c r="C1" s="449"/>
      <c r="D1" s="450"/>
      <c r="E1" s="450"/>
      <c r="F1" s="404"/>
      <c r="G1" s="404"/>
    </row>
    <row r="2" spans="1:15" s="184" customFormat="1" ht="15.75" x14ac:dyDescent="0.25">
      <c r="A2" s="448" t="s">
        <v>99</v>
      </c>
      <c r="B2" s="449" t="str">
        <f>CONCATENATE(Harvester!B2," y ",Forwarder!B2)</f>
        <v>Tala rasa pulpa descortezado total y Extracción pulpa</v>
      </c>
      <c r="C2" s="449"/>
      <c r="D2" s="450"/>
      <c r="E2" s="450"/>
      <c r="F2" s="404"/>
      <c r="G2" s="404"/>
    </row>
    <row r="3" spans="1:15" s="184" customFormat="1" ht="15.75" x14ac:dyDescent="0.25">
      <c r="A3" s="448" t="s">
        <v>26</v>
      </c>
      <c r="B3" s="449">
        <f>'Matriz de flota'!B3</f>
        <v>0</v>
      </c>
      <c r="C3" s="449"/>
      <c r="D3" s="450"/>
      <c r="E3" s="450"/>
      <c r="F3" s="404"/>
      <c r="G3" s="404"/>
    </row>
    <row r="4" spans="1:15" s="184" customFormat="1" ht="15.75" x14ac:dyDescent="0.25">
      <c r="A4" s="448" t="s">
        <v>27</v>
      </c>
      <c r="B4" s="449">
        <f>'Matriz de flota'!B4</f>
        <v>0</v>
      </c>
      <c r="C4" s="449"/>
      <c r="D4" s="450"/>
      <c r="E4" s="450"/>
      <c r="F4" s="404"/>
      <c r="G4" s="404"/>
    </row>
    <row r="5" spans="1:15" s="184" customFormat="1" ht="15.75" x14ac:dyDescent="0.25">
      <c r="A5" s="448" t="s">
        <v>11</v>
      </c>
      <c r="B5" s="449">
        <f>'Matriz de flota'!B5</f>
        <v>0</v>
      </c>
      <c r="C5" s="449"/>
      <c r="D5" s="449"/>
      <c r="E5" s="449"/>
      <c r="F5" s="405"/>
      <c r="G5" s="406"/>
      <c r="H5" s="403"/>
      <c r="I5" s="403"/>
      <c r="J5" s="403"/>
      <c r="K5" s="403"/>
      <c r="L5" s="403"/>
      <c r="M5" s="403"/>
      <c r="N5" s="403"/>
      <c r="O5" s="403"/>
    </row>
    <row r="7" spans="1:15" s="184" customFormat="1" ht="15.75" x14ac:dyDescent="0.25">
      <c r="A7" s="448" t="s">
        <v>176</v>
      </c>
      <c r="B7" s="451"/>
      <c r="C7" s="451"/>
      <c r="D7" s="452"/>
      <c r="E7" s="452"/>
      <c r="F7" s="408"/>
    </row>
    <row r="8" spans="1:15" ht="15" customHeight="1" x14ac:dyDescent="0.25">
      <c r="A8" s="306"/>
      <c r="B8" s="307"/>
      <c r="C8" s="307"/>
      <c r="D8" s="307"/>
      <c r="E8" s="308" t="s">
        <v>268</v>
      </c>
      <c r="F8" s="308" t="s">
        <v>268</v>
      </c>
      <c r="G8" s="308" t="s">
        <v>90</v>
      </c>
      <c r="H8" s="308" t="s">
        <v>167</v>
      </c>
      <c r="I8" s="309" t="s">
        <v>0</v>
      </c>
    </row>
    <row r="9" spans="1:15" ht="15" customHeight="1" x14ac:dyDescent="0.25">
      <c r="A9" s="349" t="s">
        <v>152</v>
      </c>
      <c r="B9" s="311"/>
      <c r="C9" s="311"/>
      <c r="D9" s="311"/>
      <c r="E9" s="312" t="s">
        <v>190</v>
      </c>
      <c r="F9" s="312" t="s">
        <v>183</v>
      </c>
      <c r="G9" s="312" t="s">
        <v>166</v>
      </c>
      <c r="H9" s="312" t="s">
        <v>190</v>
      </c>
      <c r="I9" s="313"/>
    </row>
    <row r="10" spans="1:15" ht="15" customHeight="1" x14ac:dyDescent="0.25">
      <c r="A10" s="314"/>
      <c r="B10" s="495" t="s">
        <v>153</v>
      </c>
      <c r="C10" s="496"/>
      <c r="D10" s="497"/>
      <c r="E10" s="344">
        <f>+F10*12/dolar</f>
        <v>45161.678810140307</v>
      </c>
      <c r="F10" s="338">
        <v>125000</v>
      </c>
      <c r="G10" s="339">
        <v>1</v>
      </c>
      <c r="H10" s="344">
        <f>G10*E10</f>
        <v>45161.678810140307</v>
      </c>
      <c r="I10" s="313"/>
    </row>
    <row r="11" spans="1:15" ht="15" customHeight="1" x14ac:dyDescent="0.25">
      <c r="A11" s="314"/>
      <c r="B11" s="483" t="s">
        <v>154</v>
      </c>
      <c r="C11" s="484"/>
      <c r="D11" s="485"/>
      <c r="E11" s="345">
        <f t="shared" ref="E11:E24" si="0">+F11*12/dolar</f>
        <v>28180.887577527548</v>
      </c>
      <c r="F11" s="340">
        <v>78000</v>
      </c>
      <c r="G11" s="341">
        <v>1</v>
      </c>
      <c r="H11" s="345">
        <f t="shared" ref="H11:H24" si="1">G11*E11</f>
        <v>28180.887577527548</v>
      </c>
      <c r="I11" s="313"/>
    </row>
    <row r="12" spans="1:15" ht="15" customHeight="1" x14ac:dyDescent="0.25">
      <c r="A12" s="314"/>
      <c r="B12" s="483" t="s">
        <v>162</v>
      </c>
      <c r="C12" s="484"/>
      <c r="D12" s="485"/>
      <c r="E12" s="345">
        <f t="shared" si="0"/>
        <v>21677.605828867345</v>
      </c>
      <c r="F12" s="340">
        <v>60000</v>
      </c>
      <c r="G12" s="341">
        <v>2</v>
      </c>
      <c r="H12" s="345">
        <f t="shared" si="1"/>
        <v>43355.21165773469</v>
      </c>
      <c r="I12" s="313"/>
    </row>
    <row r="13" spans="1:15" ht="15" customHeight="1" x14ac:dyDescent="0.25">
      <c r="A13" s="314"/>
      <c r="B13" s="483" t="s">
        <v>155</v>
      </c>
      <c r="C13" s="484"/>
      <c r="D13" s="485"/>
      <c r="E13" s="345">
        <f t="shared" si="0"/>
        <v>10838.802914433672</v>
      </c>
      <c r="F13" s="340">
        <v>30000</v>
      </c>
      <c r="G13" s="341">
        <v>1</v>
      </c>
      <c r="H13" s="345">
        <f t="shared" si="1"/>
        <v>10838.802914433672</v>
      </c>
      <c r="I13" s="313"/>
    </row>
    <row r="14" spans="1:15" ht="15" customHeight="1" x14ac:dyDescent="0.25">
      <c r="A14" s="314"/>
      <c r="B14" s="483" t="s">
        <v>156</v>
      </c>
      <c r="C14" s="484"/>
      <c r="D14" s="485"/>
      <c r="E14" s="345">
        <f t="shared" si="0"/>
        <v>8671.0423315469379</v>
      </c>
      <c r="F14" s="340">
        <v>24000</v>
      </c>
      <c r="G14" s="341">
        <v>2</v>
      </c>
      <c r="H14" s="345">
        <f t="shared" si="1"/>
        <v>17342.084663093876</v>
      </c>
      <c r="I14" s="313"/>
    </row>
    <row r="15" spans="1:15" ht="15" customHeight="1" x14ac:dyDescent="0.25">
      <c r="A15" s="314"/>
      <c r="B15" s="483" t="s">
        <v>165</v>
      </c>
      <c r="C15" s="484"/>
      <c r="D15" s="485"/>
      <c r="E15" s="345">
        <f t="shared" si="0"/>
        <v>8671.0423315469379</v>
      </c>
      <c r="F15" s="340">
        <v>24000</v>
      </c>
      <c r="G15" s="341">
        <v>1</v>
      </c>
      <c r="H15" s="345">
        <f t="shared" si="1"/>
        <v>8671.0423315469379</v>
      </c>
      <c r="I15" s="313"/>
    </row>
    <row r="16" spans="1:15" ht="15" customHeight="1" x14ac:dyDescent="0.25">
      <c r="A16" s="314"/>
      <c r="B16" s="483" t="s">
        <v>157</v>
      </c>
      <c r="C16" s="484"/>
      <c r="D16" s="485"/>
      <c r="E16" s="345">
        <f t="shared" si="0"/>
        <v>10838.802914433672</v>
      </c>
      <c r="F16" s="340">
        <v>30000</v>
      </c>
      <c r="G16" s="341">
        <v>1</v>
      </c>
      <c r="H16" s="345">
        <f t="shared" si="1"/>
        <v>10838.802914433672</v>
      </c>
      <c r="I16" s="313"/>
    </row>
    <row r="17" spans="1:11" ht="15" customHeight="1" x14ac:dyDescent="0.25">
      <c r="A17" s="314"/>
      <c r="B17" s="483" t="s">
        <v>158</v>
      </c>
      <c r="C17" s="484"/>
      <c r="D17" s="485"/>
      <c r="E17" s="345">
        <f t="shared" si="0"/>
        <v>10838.802914433672</v>
      </c>
      <c r="F17" s="340">
        <v>30000</v>
      </c>
      <c r="G17" s="341">
        <v>1</v>
      </c>
      <c r="H17" s="345">
        <f t="shared" si="1"/>
        <v>10838.802914433672</v>
      </c>
      <c r="I17" s="313"/>
    </row>
    <row r="18" spans="1:11" ht="15" customHeight="1" x14ac:dyDescent="0.25">
      <c r="A18" s="314"/>
      <c r="B18" s="483" t="s">
        <v>159</v>
      </c>
      <c r="C18" s="484"/>
      <c r="D18" s="485"/>
      <c r="E18" s="345">
        <f t="shared" si="0"/>
        <v>16258.204371650509</v>
      </c>
      <c r="F18" s="340">
        <v>45000</v>
      </c>
      <c r="G18" s="341">
        <v>2</v>
      </c>
      <c r="H18" s="345">
        <f t="shared" si="1"/>
        <v>32516.408743301017</v>
      </c>
      <c r="I18" s="313"/>
    </row>
    <row r="19" spans="1:11" ht="15" customHeight="1" x14ac:dyDescent="0.25">
      <c r="A19" s="314"/>
      <c r="B19" s="483" t="s">
        <v>160</v>
      </c>
      <c r="C19" s="484"/>
      <c r="D19" s="485"/>
      <c r="E19" s="345">
        <f t="shared" si="0"/>
        <v>8671.0423315469379</v>
      </c>
      <c r="F19" s="340">
        <v>24000</v>
      </c>
      <c r="G19" s="341">
        <v>2</v>
      </c>
      <c r="H19" s="345">
        <f t="shared" si="1"/>
        <v>17342.084663093876</v>
      </c>
      <c r="I19" s="313"/>
    </row>
    <row r="20" spans="1:11" ht="15" customHeight="1" x14ac:dyDescent="0.25">
      <c r="A20" s="314"/>
      <c r="B20" s="483" t="s">
        <v>161</v>
      </c>
      <c r="C20" s="484"/>
      <c r="D20" s="485"/>
      <c r="E20" s="345">
        <f t="shared" si="0"/>
        <v>7225.8686096224483</v>
      </c>
      <c r="F20" s="340">
        <v>20000</v>
      </c>
      <c r="G20" s="341">
        <v>2</v>
      </c>
      <c r="H20" s="345">
        <f t="shared" si="1"/>
        <v>14451.737219244897</v>
      </c>
      <c r="I20" s="313"/>
    </row>
    <row r="21" spans="1:11" ht="15" customHeight="1" x14ac:dyDescent="0.25">
      <c r="A21" s="314"/>
      <c r="B21" s="483" t="s">
        <v>163</v>
      </c>
      <c r="C21" s="484"/>
      <c r="D21" s="485"/>
      <c r="E21" s="345">
        <f t="shared" si="0"/>
        <v>6503.2817486602034</v>
      </c>
      <c r="F21" s="340">
        <v>18000</v>
      </c>
      <c r="G21" s="341">
        <v>1</v>
      </c>
      <c r="H21" s="345">
        <f t="shared" si="1"/>
        <v>6503.2817486602034</v>
      </c>
      <c r="I21" s="313"/>
    </row>
    <row r="22" spans="1:11" ht="15" customHeight="1" x14ac:dyDescent="0.25">
      <c r="A22" s="314"/>
      <c r="B22" s="483" t="s">
        <v>164</v>
      </c>
      <c r="C22" s="484"/>
      <c r="D22" s="485"/>
      <c r="E22" s="345">
        <f t="shared" si="0"/>
        <v>13729.150358282652</v>
      </c>
      <c r="F22" s="340">
        <v>38000</v>
      </c>
      <c r="G22" s="341">
        <v>1</v>
      </c>
      <c r="H22" s="345">
        <f t="shared" si="1"/>
        <v>13729.150358282652</v>
      </c>
      <c r="I22" s="313"/>
    </row>
    <row r="23" spans="1:11" ht="15" customHeight="1" x14ac:dyDescent="0.25">
      <c r="A23" s="314"/>
      <c r="B23" s="483" t="s">
        <v>32</v>
      </c>
      <c r="C23" s="484"/>
      <c r="D23" s="485"/>
      <c r="E23" s="345">
        <f t="shared" si="0"/>
        <v>6141.988318179081</v>
      </c>
      <c r="F23" s="340">
        <v>17000</v>
      </c>
      <c r="G23" s="341">
        <v>1</v>
      </c>
      <c r="H23" s="345">
        <f t="shared" si="1"/>
        <v>6141.988318179081</v>
      </c>
      <c r="I23" s="313"/>
    </row>
    <row r="24" spans="1:11" ht="15" customHeight="1" x14ac:dyDescent="0.25">
      <c r="A24" s="314"/>
      <c r="B24" s="486" t="s">
        <v>252</v>
      </c>
      <c r="C24" s="487"/>
      <c r="D24" s="488"/>
      <c r="E24" s="346">
        <f t="shared" si="0"/>
        <v>0</v>
      </c>
      <c r="F24" s="342">
        <v>0</v>
      </c>
      <c r="G24" s="343">
        <v>0</v>
      </c>
      <c r="H24" s="346">
        <f t="shared" si="1"/>
        <v>0</v>
      </c>
      <c r="I24" s="313"/>
    </row>
    <row r="25" spans="1:11" ht="15" customHeight="1" x14ac:dyDescent="0.25">
      <c r="A25" s="314"/>
      <c r="B25" s="311"/>
      <c r="C25" s="311"/>
      <c r="D25" s="311"/>
      <c r="E25" s="311" t="s">
        <v>274</v>
      </c>
      <c r="F25" s="311"/>
      <c r="G25" s="315"/>
      <c r="H25" s="347">
        <f>SUM(H10:H24)</f>
        <v>265911.9648341061</v>
      </c>
      <c r="I25" s="313"/>
    </row>
    <row r="26" spans="1:11" ht="15" customHeight="1" x14ac:dyDescent="0.25">
      <c r="A26" s="314"/>
      <c r="B26" s="311"/>
      <c r="C26" s="311"/>
      <c r="D26" s="311"/>
      <c r="E26" s="311" t="s">
        <v>168</v>
      </c>
      <c r="F26" s="311"/>
      <c r="G26" s="348">
        <v>0.93</v>
      </c>
      <c r="H26" s="347">
        <f>H25*G26</f>
        <v>247298.12729571867</v>
      </c>
      <c r="I26" s="313"/>
    </row>
    <row r="27" spans="1:11" ht="15" customHeight="1" x14ac:dyDescent="0.25">
      <c r="A27" s="314"/>
      <c r="B27" s="311"/>
      <c r="C27" s="311"/>
      <c r="D27" s="311"/>
      <c r="E27" s="311" t="s">
        <v>191</v>
      </c>
      <c r="F27" s="311"/>
      <c r="G27" s="311"/>
      <c r="H27" s="347">
        <f>H25+H26</f>
        <v>513210.0921298248</v>
      </c>
      <c r="I27" s="313"/>
    </row>
    <row r="28" spans="1:11" ht="15" customHeight="1" x14ac:dyDescent="0.25">
      <c r="A28" s="316"/>
      <c r="B28" s="317"/>
      <c r="C28" s="317"/>
      <c r="D28" s="317"/>
      <c r="E28" s="317"/>
      <c r="F28" s="317"/>
      <c r="G28" s="317"/>
      <c r="H28" s="317"/>
      <c r="I28" s="318"/>
    </row>
    <row r="29" spans="1:11" ht="15" customHeight="1" x14ac:dyDescent="0.25">
      <c r="A29" s="350" t="s">
        <v>192</v>
      </c>
      <c r="B29" s="307"/>
      <c r="C29" s="307"/>
      <c r="D29" s="307"/>
      <c r="E29" s="307"/>
      <c r="F29" s="307"/>
      <c r="G29" s="307"/>
      <c r="H29" s="307"/>
      <c r="I29" s="309"/>
    </row>
    <row r="30" spans="1:11" ht="15" customHeight="1" x14ac:dyDescent="0.25">
      <c r="A30" s="314"/>
      <c r="B30" s="311"/>
      <c r="C30" s="311"/>
      <c r="D30" s="311"/>
      <c r="E30" s="308" t="s">
        <v>90</v>
      </c>
      <c r="F30" s="308" t="s">
        <v>170</v>
      </c>
      <c r="G30" s="308" t="s">
        <v>171</v>
      </c>
      <c r="H30" s="308" t="s">
        <v>167</v>
      </c>
      <c r="I30" s="313"/>
    </row>
    <row r="31" spans="1:11" ht="15" customHeight="1" x14ac:dyDescent="0.25">
      <c r="A31" s="314"/>
      <c r="B31" s="311"/>
      <c r="C31" s="319" t="s">
        <v>169</v>
      </c>
      <c r="D31" s="319"/>
      <c r="E31" s="320"/>
      <c r="F31" s="320"/>
      <c r="G31" s="312" t="s">
        <v>172</v>
      </c>
      <c r="H31" s="312" t="s">
        <v>190</v>
      </c>
      <c r="I31" s="313"/>
    </row>
    <row r="32" spans="1:11" ht="15" customHeight="1" x14ac:dyDescent="0.25">
      <c r="A32" s="314"/>
      <c r="B32" s="495" t="s">
        <v>173</v>
      </c>
      <c r="C32" s="496"/>
      <c r="D32" s="497"/>
      <c r="E32" s="339">
        <v>1</v>
      </c>
      <c r="F32" s="338">
        <v>2000</v>
      </c>
      <c r="G32" s="351">
        <v>0.21</v>
      </c>
      <c r="H32" s="344">
        <f t="shared" ref="H32:H38" si="2">E32*F32*G32*12</f>
        <v>5040</v>
      </c>
      <c r="I32" s="313"/>
      <c r="K32" s="305" t="s">
        <v>0</v>
      </c>
    </row>
    <row r="33" spans="1:9" ht="15" customHeight="1" x14ac:dyDescent="0.25">
      <c r="A33" s="314"/>
      <c r="B33" s="483" t="s">
        <v>174</v>
      </c>
      <c r="C33" s="484"/>
      <c r="D33" s="485"/>
      <c r="E33" s="341">
        <v>1</v>
      </c>
      <c r="F33" s="340">
        <v>3000</v>
      </c>
      <c r="G33" s="352">
        <v>0.2</v>
      </c>
      <c r="H33" s="345">
        <f t="shared" si="2"/>
        <v>7200</v>
      </c>
      <c r="I33" s="313"/>
    </row>
    <row r="34" spans="1:9" ht="15" customHeight="1" x14ac:dyDescent="0.25">
      <c r="A34" s="314"/>
      <c r="B34" s="483" t="s">
        <v>193</v>
      </c>
      <c r="C34" s="484"/>
      <c r="D34" s="485"/>
      <c r="E34" s="341">
        <v>1</v>
      </c>
      <c r="F34" s="340">
        <v>1500</v>
      </c>
      <c r="G34" s="352">
        <v>0.35</v>
      </c>
      <c r="H34" s="345">
        <f t="shared" si="2"/>
        <v>6300</v>
      </c>
      <c r="I34" s="313"/>
    </row>
    <row r="35" spans="1:9" ht="15" customHeight="1" x14ac:dyDescent="0.25">
      <c r="A35" s="314"/>
      <c r="B35" s="353" t="s">
        <v>175</v>
      </c>
      <c r="C35" s="354"/>
      <c r="D35" s="355"/>
      <c r="E35" s="341">
        <v>1</v>
      </c>
      <c r="F35" s="340">
        <v>2000</v>
      </c>
      <c r="G35" s="352">
        <v>0.21</v>
      </c>
      <c r="H35" s="345">
        <f t="shared" si="2"/>
        <v>5040</v>
      </c>
      <c r="I35" s="313"/>
    </row>
    <row r="36" spans="1:9" ht="15" customHeight="1" x14ac:dyDescent="0.25">
      <c r="A36" s="314"/>
      <c r="B36" s="353" t="s">
        <v>32</v>
      </c>
      <c r="C36" s="354"/>
      <c r="D36" s="355"/>
      <c r="E36" s="341">
        <v>0</v>
      </c>
      <c r="F36" s="340">
        <v>0</v>
      </c>
      <c r="G36" s="352">
        <v>0</v>
      </c>
      <c r="H36" s="345">
        <f t="shared" si="2"/>
        <v>0</v>
      </c>
      <c r="I36" s="313"/>
    </row>
    <row r="37" spans="1:9" ht="15" customHeight="1" x14ac:dyDescent="0.25">
      <c r="A37" s="314"/>
      <c r="B37" s="353" t="s">
        <v>32</v>
      </c>
      <c r="C37" s="354"/>
      <c r="D37" s="355"/>
      <c r="E37" s="341">
        <v>0</v>
      </c>
      <c r="F37" s="340">
        <v>0</v>
      </c>
      <c r="G37" s="352">
        <v>0</v>
      </c>
      <c r="H37" s="345">
        <f t="shared" si="2"/>
        <v>0</v>
      </c>
      <c r="I37" s="313"/>
    </row>
    <row r="38" spans="1:9" ht="15" customHeight="1" x14ac:dyDescent="0.25">
      <c r="A38" s="314"/>
      <c r="B38" s="486" t="s">
        <v>32</v>
      </c>
      <c r="C38" s="487"/>
      <c r="D38" s="488"/>
      <c r="E38" s="343">
        <v>0</v>
      </c>
      <c r="F38" s="342">
        <v>0</v>
      </c>
      <c r="G38" s="356">
        <v>0</v>
      </c>
      <c r="H38" s="346">
        <f t="shared" si="2"/>
        <v>0</v>
      </c>
      <c r="I38" s="313"/>
    </row>
    <row r="39" spans="1:9" ht="15" customHeight="1" x14ac:dyDescent="0.25">
      <c r="A39" s="314"/>
      <c r="B39" s="311"/>
      <c r="C39" s="311"/>
      <c r="D39" s="311"/>
      <c r="E39" s="357">
        <f>SUM(E32:E38)</f>
        <v>4</v>
      </c>
      <c r="F39" s="375" t="s">
        <v>185</v>
      </c>
      <c r="G39" s="367"/>
      <c r="H39" s="347">
        <f>SUM(H32:H38)</f>
        <v>23580</v>
      </c>
      <c r="I39" s="313"/>
    </row>
    <row r="40" spans="1:9" s="326" customFormat="1" ht="15" customHeight="1" x14ac:dyDescent="0.25">
      <c r="A40" s="321"/>
      <c r="B40" s="322"/>
      <c r="C40" s="322"/>
      <c r="D40" s="322"/>
      <c r="E40" s="322"/>
      <c r="F40" s="323"/>
      <c r="G40" s="324"/>
      <c r="H40" s="322"/>
      <c r="I40" s="325"/>
    </row>
    <row r="41" spans="1:9" ht="15" customHeight="1" x14ac:dyDescent="0.25">
      <c r="A41" s="349" t="s">
        <v>96</v>
      </c>
      <c r="B41" s="311"/>
      <c r="C41" s="319"/>
      <c r="D41" s="319"/>
      <c r="E41" s="327" t="s">
        <v>194</v>
      </c>
      <c r="F41" s="308" t="s">
        <v>5</v>
      </c>
      <c r="G41" s="311"/>
      <c r="H41" s="319"/>
      <c r="I41" s="313"/>
    </row>
    <row r="42" spans="1:9" ht="15" customHeight="1" x14ac:dyDescent="0.25">
      <c r="A42" s="314"/>
      <c r="B42" s="492" t="str">
        <f t="shared" ref="B42:B48" si="3">B32</f>
        <v>Camioneta 4x4</v>
      </c>
      <c r="C42" s="493"/>
      <c r="D42" s="494"/>
      <c r="E42" s="361">
        <v>30000</v>
      </c>
      <c r="F42" s="344">
        <f>E32*E42</f>
        <v>30000</v>
      </c>
      <c r="G42" s="311"/>
      <c r="H42" s="311"/>
      <c r="I42" s="313"/>
    </row>
    <row r="43" spans="1:9" ht="15" customHeight="1" x14ac:dyDescent="0.25">
      <c r="A43" s="314"/>
      <c r="B43" s="489" t="str">
        <f t="shared" si="3"/>
        <v>Camioneta 4x2</v>
      </c>
      <c r="C43" s="490"/>
      <c r="D43" s="491"/>
      <c r="E43" s="362">
        <v>23000</v>
      </c>
      <c r="F43" s="345">
        <f t="shared" ref="F43:F48" si="4">E33*E43</f>
        <v>23000</v>
      </c>
      <c r="G43" s="311"/>
      <c r="H43" s="311"/>
      <c r="I43" s="313"/>
    </row>
    <row r="44" spans="1:9" ht="15" customHeight="1" x14ac:dyDescent="0.25">
      <c r="A44" s="314"/>
      <c r="B44" s="489" t="str">
        <f t="shared" si="3"/>
        <v>Camión cisterna</v>
      </c>
      <c r="C44" s="490"/>
      <c r="D44" s="491"/>
      <c r="E44" s="362">
        <v>70000</v>
      </c>
      <c r="F44" s="345">
        <f t="shared" si="4"/>
        <v>70000</v>
      </c>
      <c r="G44" s="311"/>
      <c r="H44" s="311"/>
      <c r="I44" s="313"/>
    </row>
    <row r="45" spans="1:9" ht="15" customHeight="1" x14ac:dyDescent="0.25">
      <c r="A45" s="314"/>
      <c r="B45" s="358" t="str">
        <f t="shared" si="3"/>
        <v>Micro transporte personal</v>
      </c>
      <c r="C45" s="359"/>
      <c r="D45" s="360"/>
      <c r="E45" s="362">
        <v>30000</v>
      </c>
      <c r="F45" s="345">
        <f t="shared" si="4"/>
        <v>30000</v>
      </c>
      <c r="G45" s="311"/>
      <c r="H45" s="311"/>
      <c r="I45" s="313"/>
    </row>
    <row r="46" spans="1:9" ht="15" customHeight="1" x14ac:dyDescent="0.25">
      <c r="A46" s="314"/>
      <c r="B46" s="358" t="str">
        <f t="shared" si="3"/>
        <v>Otro</v>
      </c>
      <c r="C46" s="359"/>
      <c r="D46" s="360"/>
      <c r="E46" s="362">
        <v>0</v>
      </c>
      <c r="F46" s="345">
        <f t="shared" si="4"/>
        <v>0</v>
      </c>
      <c r="G46" s="311"/>
      <c r="H46" s="311"/>
      <c r="I46" s="313"/>
    </row>
    <row r="47" spans="1:9" ht="15" customHeight="1" x14ac:dyDescent="0.25">
      <c r="A47" s="314"/>
      <c r="B47" s="489" t="str">
        <f t="shared" si="3"/>
        <v>Otro</v>
      </c>
      <c r="C47" s="490"/>
      <c r="D47" s="491"/>
      <c r="E47" s="362">
        <v>0</v>
      </c>
      <c r="F47" s="345">
        <f t="shared" si="4"/>
        <v>0</v>
      </c>
      <c r="G47" s="311"/>
      <c r="H47" s="311"/>
      <c r="I47" s="313"/>
    </row>
    <row r="48" spans="1:9" ht="15" customHeight="1" x14ac:dyDescent="0.25">
      <c r="A48" s="314"/>
      <c r="B48" s="478" t="str">
        <f t="shared" si="3"/>
        <v>Otro</v>
      </c>
      <c r="C48" s="479"/>
      <c r="D48" s="480"/>
      <c r="E48" s="363">
        <v>0</v>
      </c>
      <c r="F48" s="346">
        <f t="shared" si="4"/>
        <v>0</v>
      </c>
      <c r="G48" s="311"/>
      <c r="H48" s="311"/>
      <c r="I48" s="313"/>
    </row>
    <row r="49" spans="1:9" ht="15" customHeight="1" x14ac:dyDescent="0.25">
      <c r="A49" s="314"/>
      <c r="B49" s="311"/>
      <c r="D49" s="311" t="s">
        <v>184</v>
      </c>
      <c r="E49" s="311"/>
      <c r="F49" s="346">
        <f>SUM(F42:F48)</f>
        <v>153000</v>
      </c>
      <c r="G49" s="311" t="s">
        <v>0</v>
      </c>
      <c r="H49" s="328" t="s">
        <v>0</v>
      </c>
      <c r="I49" s="329" t="s">
        <v>0</v>
      </c>
    </row>
    <row r="50" spans="1:9" ht="15" customHeight="1" x14ac:dyDescent="0.25">
      <c r="A50" s="314"/>
      <c r="B50" s="311"/>
      <c r="C50" s="311"/>
      <c r="E50" s="311"/>
      <c r="F50" s="322"/>
      <c r="G50" s="311"/>
      <c r="H50" s="311"/>
      <c r="I50" s="313"/>
    </row>
    <row r="51" spans="1:9" ht="15" customHeight="1" x14ac:dyDescent="0.25">
      <c r="A51" s="349" t="s">
        <v>195</v>
      </c>
      <c r="B51" s="311"/>
      <c r="C51" s="311"/>
      <c r="D51" s="311"/>
      <c r="E51" s="311"/>
      <c r="F51" s="322"/>
      <c r="G51" s="311"/>
      <c r="H51" s="311"/>
      <c r="I51" s="313"/>
    </row>
    <row r="52" spans="1:9" ht="15" customHeight="1" x14ac:dyDescent="0.25">
      <c r="A52" s="314"/>
      <c r="B52" s="306" t="s">
        <v>196</v>
      </c>
      <c r="C52" s="309"/>
      <c r="D52" s="330">
        <v>4</v>
      </c>
      <c r="E52" s="311"/>
      <c r="F52" s="322"/>
      <c r="G52" s="311"/>
      <c r="H52" s="311"/>
      <c r="I52" s="313"/>
    </row>
    <row r="53" spans="1:9" ht="15" customHeight="1" x14ac:dyDescent="0.25">
      <c r="A53" s="314"/>
      <c r="B53" s="314" t="s">
        <v>36</v>
      </c>
      <c r="C53" s="313"/>
      <c r="D53" s="357">
        <f>+D52*12</f>
        <v>48</v>
      </c>
      <c r="E53" s="311"/>
      <c r="F53" s="311"/>
      <c r="G53" s="311"/>
      <c r="H53" s="311"/>
      <c r="I53" s="313"/>
    </row>
    <row r="54" spans="1:9" ht="15" customHeight="1" x14ac:dyDescent="0.25">
      <c r="A54" s="314"/>
      <c r="B54" s="316" t="s">
        <v>197</v>
      </c>
      <c r="C54" s="318"/>
      <c r="D54" s="331">
        <v>7.0000000000000007E-2</v>
      </c>
      <c r="E54" s="470" t="s">
        <v>97</v>
      </c>
      <c r="F54" s="471"/>
      <c r="G54" s="308" t="s">
        <v>72</v>
      </c>
      <c r="H54" s="332" t="s">
        <v>198</v>
      </c>
      <c r="I54" s="313"/>
    </row>
    <row r="55" spans="1:9" ht="15" customHeight="1" x14ac:dyDescent="0.25">
      <c r="A55" s="314"/>
      <c r="B55" s="492" t="str">
        <f>B42</f>
        <v>Camioneta 4x4</v>
      </c>
      <c r="C55" s="493"/>
      <c r="D55" s="494"/>
      <c r="E55" s="333">
        <v>0.2</v>
      </c>
      <c r="F55" s="364">
        <f t="shared" ref="F55:F61" si="5">F42*E55</f>
        <v>6000</v>
      </c>
      <c r="G55" s="364">
        <f>PMT(D$54/12,D$53,-F42,F55,0)</f>
        <v>609.70987189862979</v>
      </c>
      <c r="H55" s="344">
        <f>+G55*12</f>
        <v>7316.518462783557</v>
      </c>
      <c r="I55" s="313"/>
    </row>
    <row r="56" spans="1:9" ht="15" customHeight="1" x14ac:dyDescent="0.25">
      <c r="A56" s="314"/>
      <c r="B56" s="489" t="str">
        <f>B43</f>
        <v>Camioneta 4x2</v>
      </c>
      <c r="C56" s="490"/>
      <c r="D56" s="491"/>
      <c r="E56" s="334">
        <v>0.2</v>
      </c>
      <c r="F56" s="365">
        <f t="shared" si="5"/>
        <v>4600</v>
      </c>
      <c r="G56" s="365">
        <f t="shared" ref="G56:G61" si="6">PMT(D$54/12,D$53,-F43,F56,0)</f>
        <v>467.44423512228281</v>
      </c>
      <c r="H56" s="345">
        <f t="shared" ref="H56:H61" si="7">+G56*12</f>
        <v>5609.3308214673934</v>
      </c>
      <c r="I56" s="313"/>
    </row>
    <row r="57" spans="1:9" ht="15" customHeight="1" x14ac:dyDescent="0.25">
      <c r="A57" s="314"/>
      <c r="B57" s="489" t="str">
        <f>B44</f>
        <v>Camión cisterna</v>
      </c>
      <c r="C57" s="490"/>
      <c r="D57" s="491"/>
      <c r="E57" s="334">
        <v>0.2</v>
      </c>
      <c r="F57" s="365">
        <f t="shared" si="5"/>
        <v>14000</v>
      </c>
      <c r="G57" s="365">
        <f t="shared" si="6"/>
        <v>1422.6563677634695</v>
      </c>
      <c r="H57" s="345">
        <f t="shared" si="7"/>
        <v>17071.876413161634</v>
      </c>
      <c r="I57" s="313"/>
    </row>
    <row r="58" spans="1:9" ht="15" customHeight="1" x14ac:dyDescent="0.25">
      <c r="A58" s="314"/>
      <c r="B58" s="358" t="str">
        <f>B35</f>
        <v>Micro transporte personal</v>
      </c>
      <c r="C58" s="359"/>
      <c r="D58" s="360"/>
      <c r="E58" s="334">
        <v>0.2</v>
      </c>
      <c r="F58" s="365">
        <f t="shared" si="5"/>
        <v>6000</v>
      </c>
      <c r="G58" s="365">
        <f t="shared" si="6"/>
        <v>609.70987189862979</v>
      </c>
      <c r="H58" s="345">
        <f t="shared" si="7"/>
        <v>7316.518462783557</v>
      </c>
      <c r="I58" s="313"/>
    </row>
    <row r="59" spans="1:9" ht="15" customHeight="1" x14ac:dyDescent="0.25">
      <c r="A59" s="314"/>
      <c r="B59" s="358" t="str">
        <f>B36</f>
        <v>Otro</v>
      </c>
      <c r="C59" s="359"/>
      <c r="D59" s="360"/>
      <c r="E59" s="334">
        <v>0.2</v>
      </c>
      <c r="F59" s="365">
        <f t="shared" si="5"/>
        <v>0</v>
      </c>
      <c r="G59" s="365">
        <f t="shared" si="6"/>
        <v>0</v>
      </c>
      <c r="H59" s="345">
        <f t="shared" si="7"/>
        <v>0</v>
      </c>
      <c r="I59" s="313"/>
    </row>
    <row r="60" spans="1:9" ht="15" customHeight="1" x14ac:dyDescent="0.25">
      <c r="A60" s="314"/>
      <c r="B60" s="489" t="str">
        <f>B37</f>
        <v>Otro</v>
      </c>
      <c r="C60" s="490"/>
      <c r="D60" s="491"/>
      <c r="E60" s="334">
        <v>0.2</v>
      </c>
      <c r="F60" s="365">
        <f t="shared" si="5"/>
        <v>0</v>
      </c>
      <c r="G60" s="365">
        <f t="shared" si="6"/>
        <v>0</v>
      </c>
      <c r="H60" s="345">
        <f t="shared" si="7"/>
        <v>0</v>
      </c>
      <c r="I60" s="313"/>
    </row>
    <row r="61" spans="1:9" ht="15" customHeight="1" x14ac:dyDescent="0.25">
      <c r="A61" s="314"/>
      <c r="B61" s="478" t="str">
        <f>B38</f>
        <v>Otro</v>
      </c>
      <c r="C61" s="479"/>
      <c r="D61" s="480"/>
      <c r="E61" s="335">
        <v>0.2</v>
      </c>
      <c r="F61" s="366">
        <f t="shared" si="5"/>
        <v>0</v>
      </c>
      <c r="G61" s="366">
        <f t="shared" si="6"/>
        <v>0</v>
      </c>
      <c r="H61" s="346">
        <f t="shared" si="7"/>
        <v>0</v>
      </c>
      <c r="I61" s="313"/>
    </row>
    <row r="62" spans="1:9" ht="15" customHeight="1" x14ac:dyDescent="0.25">
      <c r="A62" s="314"/>
      <c r="B62" s="311"/>
      <c r="C62" s="311"/>
      <c r="D62" s="311"/>
      <c r="E62" s="311"/>
      <c r="F62" s="357">
        <f>SUM(F55:F61)</f>
        <v>30600</v>
      </c>
      <c r="G62" s="346">
        <f>SUM(G55:G61)</f>
        <v>3109.5203466830117</v>
      </c>
      <c r="H62" s="346">
        <f>SUM(H55:H61)</f>
        <v>37314.24416019614</v>
      </c>
      <c r="I62" s="313"/>
    </row>
    <row r="63" spans="1:9" ht="15" customHeight="1" x14ac:dyDescent="0.25">
      <c r="A63" s="314"/>
      <c r="B63" s="311"/>
      <c r="C63" s="311"/>
      <c r="D63" s="311"/>
      <c r="E63" s="311"/>
      <c r="F63" s="311"/>
      <c r="G63" s="311"/>
      <c r="H63" s="311"/>
      <c r="I63" s="313"/>
    </row>
    <row r="64" spans="1:9" ht="15" customHeight="1" x14ac:dyDescent="0.25">
      <c r="A64" s="349" t="s">
        <v>199</v>
      </c>
      <c r="B64" s="311"/>
      <c r="C64" s="311"/>
      <c r="D64" s="311"/>
      <c r="E64" s="311"/>
      <c r="F64" s="311"/>
      <c r="G64" s="311"/>
      <c r="H64" s="311"/>
      <c r="I64" s="313"/>
    </row>
    <row r="65" spans="1:9" ht="15" customHeight="1" x14ac:dyDescent="0.25">
      <c r="A65" s="314"/>
      <c r="B65" s="311" t="str">
        <f>A51</f>
        <v>Costos de financiación</v>
      </c>
      <c r="C65" s="311"/>
      <c r="E65" s="344">
        <f>H62</f>
        <v>37314.24416019614</v>
      </c>
      <c r="F65" s="311"/>
      <c r="G65" s="311"/>
      <c r="H65" s="311"/>
      <c r="I65" s="313"/>
    </row>
    <row r="66" spans="1:9" ht="15" customHeight="1" x14ac:dyDescent="0.25">
      <c r="A66" s="314"/>
      <c r="B66" s="311" t="s">
        <v>47</v>
      </c>
      <c r="C66" s="311"/>
      <c r="E66" s="346">
        <f>H39</f>
        <v>23580</v>
      </c>
      <c r="F66" s="311"/>
      <c r="G66" s="311"/>
      <c r="H66" s="311"/>
      <c r="I66" s="313"/>
    </row>
    <row r="67" spans="1:9" ht="15" customHeight="1" thickBot="1" x14ac:dyDescent="0.3">
      <c r="A67" s="314"/>
      <c r="B67" s="311" t="s">
        <v>186</v>
      </c>
      <c r="C67" s="311"/>
      <c r="E67" s="368">
        <f>SUM(E65:E66)</f>
        <v>60894.24416019614</v>
      </c>
      <c r="F67" s="311"/>
      <c r="G67" s="311"/>
      <c r="H67" s="311"/>
      <c r="I67" s="313"/>
    </row>
    <row r="68" spans="1:9" ht="15" customHeight="1" thickTop="1" x14ac:dyDescent="0.25">
      <c r="A68" s="316"/>
      <c r="B68" s="317"/>
      <c r="C68" s="317"/>
      <c r="D68" s="317"/>
      <c r="E68" s="317"/>
      <c r="F68" s="317"/>
      <c r="G68" s="317"/>
      <c r="H68" s="317"/>
      <c r="I68" s="318"/>
    </row>
    <row r="69" spans="1:9" ht="15" customHeight="1" x14ac:dyDescent="0.25">
      <c r="A69" s="349" t="s">
        <v>177</v>
      </c>
      <c r="B69" s="311"/>
      <c r="C69" s="311"/>
      <c r="D69" s="311"/>
      <c r="E69" s="311"/>
      <c r="F69" s="311"/>
      <c r="G69" s="311"/>
      <c r="H69" s="311"/>
      <c r="I69" s="313"/>
    </row>
    <row r="70" spans="1:9" ht="15" customHeight="1" x14ac:dyDescent="0.25">
      <c r="A70" s="314"/>
      <c r="B70" s="311"/>
      <c r="C70" s="311"/>
      <c r="D70" s="311"/>
      <c r="E70" s="308" t="s">
        <v>167</v>
      </c>
      <c r="F70" s="308" t="s">
        <v>167</v>
      </c>
      <c r="I70" s="313"/>
    </row>
    <row r="71" spans="1:9" ht="15" customHeight="1" x14ac:dyDescent="0.25">
      <c r="A71" s="314"/>
      <c r="B71" s="311"/>
      <c r="C71" s="311"/>
      <c r="D71" s="311"/>
      <c r="E71" s="312" t="s">
        <v>183</v>
      </c>
      <c r="F71" s="312" t="s">
        <v>190</v>
      </c>
      <c r="I71" s="313"/>
    </row>
    <row r="72" spans="1:9" ht="15" customHeight="1" x14ac:dyDescent="0.25">
      <c r="A72" s="314"/>
      <c r="B72" s="369" t="s">
        <v>181</v>
      </c>
      <c r="C72" s="370"/>
      <c r="D72" s="370"/>
      <c r="E72" s="340">
        <v>2000</v>
      </c>
      <c r="F72" s="344">
        <f t="shared" ref="F72:F81" si="8">E72*12/dolar</f>
        <v>722.58686096224483</v>
      </c>
      <c r="I72" s="313"/>
    </row>
    <row r="73" spans="1:9" ht="15" customHeight="1" x14ac:dyDescent="0.25">
      <c r="A73" s="314"/>
      <c r="B73" s="371" t="s">
        <v>178</v>
      </c>
      <c r="C73" s="372"/>
      <c r="D73" s="372"/>
      <c r="E73" s="340">
        <v>12000</v>
      </c>
      <c r="F73" s="345">
        <f t="shared" si="8"/>
        <v>4335.521165773469</v>
      </c>
      <c r="I73" s="313"/>
    </row>
    <row r="74" spans="1:9" ht="15" customHeight="1" x14ac:dyDescent="0.25">
      <c r="A74" s="314"/>
      <c r="B74" s="371" t="s">
        <v>200</v>
      </c>
      <c r="C74" s="372"/>
      <c r="D74" s="372"/>
      <c r="E74" s="340">
        <v>10000</v>
      </c>
      <c r="F74" s="345">
        <f t="shared" si="8"/>
        <v>3612.9343048112241</v>
      </c>
      <c r="I74" s="313"/>
    </row>
    <row r="75" spans="1:9" ht="15" customHeight="1" x14ac:dyDescent="0.25">
      <c r="A75" s="314"/>
      <c r="B75" s="371" t="s">
        <v>179</v>
      </c>
      <c r="C75" s="372"/>
      <c r="D75" s="372"/>
      <c r="E75" s="340">
        <v>10000</v>
      </c>
      <c r="F75" s="345">
        <f t="shared" si="8"/>
        <v>3612.9343048112241</v>
      </c>
      <c r="I75" s="313"/>
    </row>
    <row r="76" spans="1:9" ht="15" customHeight="1" x14ac:dyDescent="0.25">
      <c r="A76" s="314"/>
      <c r="B76" s="371" t="s">
        <v>180</v>
      </c>
      <c r="C76" s="372"/>
      <c r="D76" s="372"/>
      <c r="E76" s="340">
        <v>2500</v>
      </c>
      <c r="F76" s="345">
        <f t="shared" si="8"/>
        <v>903.23357620280603</v>
      </c>
      <c r="I76" s="313"/>
    </row>
    <row r="77" spans="1:9" ht="15" customHeight="1" x14ac:dyDescent="0.25">
      <c r="A77" s="314"/>
      <c r="B77" s="371" t="s">
        <v>201</v>
      </c>
      <c r="C77" s="372"/>
      <c r="D77" s="372"/>
      <c r="E77" s="340">
        <v>12000</v>
      </c>
      <c r="F77" s="345">
        <f t="shared" si="8"/>
        <v>4335.521165773469</v>
      </c>
      <c r="I77" s="313"/>
    </row>
    <row r="78" spans="1:9" ht="15" customHeight="1" x14ac:dyDescent="0.25">
      <c r="A78" s="314"/>
      <c r="B78" s="371" t="s">
        <v>32</v>
      </c>
      <c r="C78" s="372"/>
      <c r="D78" s="372"/>
      <c r="E78" s="340">
        <v>0</v>
      </c>
      <c r="F78" s="345">
        <f t="shared" si="8"/>
        <v>0</v>
      </c>
      <c r="I78" s="313"/>
    </row>
    <row r="79" spans="1:9" ht="15" customHeight="1" x14ac:dyDescent="0.25">
      <c r="A79" s="314"/>
      <c r="B79" s="371" t="s">
        <v>32</v>
      </c>
      <c r="C79" s="372"/>
      <c r="D79" s="372"/>
      <c r="E79" s="340">
        <v>0</v>
      </c>
      <c r="F79" s="345">
        <f t="shared" si="8"/>
        <v>0</v>
      </c>
      <c r="I79" s="313"/>
    </row>
    <row r="80" spans="1:9" ht="15" customHeight="1" x14ac:dyDescent="0.25">
      <c r="A80" s="314"/>
      <c r="B80" s="371" t="s">
        <v>32</v>
      </c>
      <c r="C80" s="372"/>
      <c r="D80" s="372"/>
      <c r="E80" s="340">
        <v>0</v>
      </c>
      <c r="F80" s="345">
        <f t="shared" si="8"/>
        <v>0</v>
      </c>
      <c r="I80" s="313"/>
    </row>
    <row r="81" spans="1:11" ht="15" customHeight="1" x14ac:dyDescent="0.25">
      <c r="A81" s="314"/>
      <c r="B81" s="373" t="s">
        <v>32</v>
      </c>
      <c r="C81" s="374"/>
      <c r="D81" s="374"/>
      <c r="E81" s="342">
        <v>0</v>
      </c>
      <c r="F81" s="346">
        <f t="shared" si="8"/>
        <v>0</v>
      </c>
      <c r="I81" s="313"/>
    </row>
    <row r="82" spans="1:11" ht="15" customHeight="1" thickBot="1" x14ac:dyDescent="0.3">
      <c r="A82" s="314"/>
      <c r="B82" s="311" t="s">
        <v>182</v>
      </c>
      <c r="C82" s="311"/>
      <c r="D82" s="311"/>
      <c r="E82" s="368">
        <f>SUM(E72:E81)</f>
        <v>48500</v>
      </c>
      <c r="F82" s="368">
        <f>SUM(F72:F81)</f>
        <v>17522.731378334436</v>
      </c>
      <c r="I82" s="313"/>
      <c r="K82" s="305" t="s">
        <v>0</v>
      </c>
    </row>
    <row r="83" spans="1:11" ht="15" customHeight="1" thickTop="1" x14ac:dyDescent="0.25">
      <c r="A83" s="316"/>
      <c r="B83" s="317"/>
      <c r="C83" s="317"/>
      <c r="D83" s="317"/>
      <c r="E83" s="317"/>
      <c r="F83" s="317"/>
      <c r="G83" s="317"/>
      <c r="H83" s="317"/>
      <c r="I83" s="318"/>
      <c r="K83" s="305" t="s">
        <v>0</v>
      </c>
    </row>
    <row r="84" spans="1:11" x14ac:dyDescent="0.25">
      <c r="A84" s="306"/>
      <c r="B84" s="307"/>
      <c r="C84" s="307"/>
      <c r="D84" s="307"/>
      <c r="E84" s="307"/>
      <c r="F84" s="307"/>
      <c r="G84" s="307"/>
      <c r="H84" s="307"/>
      <c r="I84" s="309"/>
    </row>
    <row r="85" spans="1:11" ht="15.75" x14ac:dyDescent="0.25">
      <c r="A85" s="376" t="s">
        <v>202</v>
      </c>
      <c r="B85" s="377"/>
      <c r="C85" s="377"/>
      <c r="D85" s="377"/>
      <c r="E85" s="377"/>
      <c r="F85" s="377"/>
      <c r="G85" s="377"/>
      <c r="H85" s="468">
        <f>F82+E67+H27</f>
        <v>591627.06766835542</v>
      </c>
      <c r="I85" s="469"/>
    </row>
    <row r="86" spans="1:11" x14ac:dyDescent="0.25">
      <c r="A86" s="316"/>
      <c r="B86" s="317"/>
      <c r="C86" s="317"/>
      <c r="D86" s="317"/>
      <c r="E86" s="317"/>
      <c r="F86" s="317"/>
      <c r="G86" s="317"/>
      <c r="H86" s="317"/>
      <c r="I86" s="318"/>
    </row>
    <row r="87" spans="1:11" x14ac:dyDescent="0.25">
      <c r="A87" s="306"/>
      <c r="B87" s="307"/>
      <c r="C87" s="307"/>
      <c r="D87" s="307"/>
      <c r="E87" s="307"/>
      <c r="F87" s="307"/>
      <c r="G87" s="307"/>
      <c r="H87" s="307"/>
      <c r="I87" s="309"/>
    </row>
    <row r="88" spans="1:11" ht="15.75" x14ac:dyDescent="0.25">
      <c r="A88" s="349" t="s">
        <v>189</v>
      </c>
      <c r="B88" s="311"/>
      <c r="C88" s="336"/>
      <c r="D88" s="311"/>
      <c r="E88" s="311"/>
      <c r="F88" s="311"/>
      <c r="G88" s="311"/>
      <c r="H88" s="311"/>
      <c r="I88" s="313"/>
    </row>
    <row r="89" spans="1:11" x14ac:dyDescent="0.25">
      <c r="A89" s="314"/>
      <c r="B89" s="311"/>
      <c r="C89" s="311"/>
      <c r="D89" s="311"/>
      <c r="E89" s="311"/>
      <c r="F89" s="311"/>
      <c r="G89" s="311"/>
      <c r="H89" s="311"/>
      <c r="I89" s="313"/>
    </row>
    <row r="90" spans="1:11" x14ac:dyDescent="0.25">
      <c r="A90" s="310" t="s">
        <v>203</v>
      </c>
      <c r="B90" s="311"/>
      <c r="C90" s="311"/>
      <c r="D90" s="201">
        <v>0.12</v>
      </c>
      <c r="E90" s="311"/>
      <c r="F90" s="311"/>
      <c r="G90" s="472">
        <f>$H$85*D90</f>
        <v>70995.248120202654</v>
      </c>
      <c r="H90" s="473"/>
      <c r="I90" s="313"/>
    </row>
    <row r="91" spans="1:11" x14ac:dyDescent="0.25">
      <c r="A91" s="310" t="s">
        <v>187</v>
      </c>
      <c r="B91" s="311"/>
      <c r="C91" s="311"/>
      <c r="D91" s="337">
        <v>0.05</v>
      </c>
      <c r="E91" s="311"/>
      <c r="F91" s="311"/>
      <c r="G91" s="474">
        <f>$H$85*D91</f>
        <v>29581.353383417772</v>
      </c>
      <c r="H91" s="475"/>
      <c r="I91" s="313"/>
    </row>
    <row r="92" spans="1:11" x14ac:dyDescent="0.25">
      <c r="A92" s="310" t="s">
        <v>220</v>
      </c>
      <c r="B92" s="311"/>
      <c r="C92" s="311"/>
      <c r="D92" s="331">
        <v>0.1</v>
      </c>
      <c r="E92" s="311"/>
      <c r="F92" s="311"/>
      <c r="G92" s="476">
        <f>$H$85*D92</f>
        <v>59162.706766835545</v>
      </c>
      <c r="H92" s="477"/>
      <c r="I92" s="313"/>
    </row>
    <row r="93" spans="1:11" x14ac:dyDescent="0.25">
      <c r="A93" s="314"/>
      <c r="B93" s="311"/>
      <c r="C93" s="311"/>
      <c r="D93" s="311"/>
      <c r="E93" s="311"/>
      <c r="F93" s="311"/>
      <c r="G93" s="311"/>
      <c r="H93" s="311"/>
      <c r="I93" s="313"/>
    </row>
    <row r="94" spans="1:11" ht="15.75" thickBot="1" x14ac:dyDescent="0.3">
      <c r="A94" s="314"/>
      <c r="B94" s="311"/>
      <c r="C94" s="336" t="s">
        <v>0</v>
      </c>
      <c r="D94" s="311"/>
      <c r="E94" s="311"/>
      <c r="F94" s="311"/>
      <c r="G94" s="311" t="s">
        <v>213</v>
      </c>
      <c r="H94" s="481">
        <f>SUM(G90:G92)</f>
        <v>159739.30827045598</v>
      </c>
      <c r="I94" s="482"/>
    </row>
    <row r="95" spans="1:11" ht="15.75" thickTop="1" x14ac:dyDescent="0.25">
      <c r="A95" s="316"/>
      <c r="B95" s="317"/>
      <c r="C95" s="317"/>
      <c r="D95" s="317"/>
      <c r="E95" s="317"/>
      <c r="F95" s="317"/>
      <c r="G95" s="317"/>
      <c r="H95" s="317"/>
      <c r="I95" s="318"/>
    </row>
    <row r="96" spans="1:11" s="378" customFormat="1" ht="18.75" x14ac:dyDescent="0.3">
      <c r="A96" s="410" t="s">
        <v>212</v>
      </c>
      <c r="B96" s="411"/>
      <c r="C96" s="411"/>
      <c r="D96" s="411"/>
      <c r="E96" s="411"/>
      <c r="F96" s="411"/>
      <c r="G96" s="411"/>
      <c r="H96" s="466">
        <f>H94+H85</f>
        <v>751366.37593881134</v>
      </c>
      <c r="I96" s="467"/>
    </row>
    <row r="97" spans="8:8" x14ac:dyDescent="0.25">
      <c r="H97" s="447">
        <f>H96/12/7</f>
        <v>8944.8378087953733</v>
      </c>
    </row>
  </sheetData>
  <mergeCells count="36">
    <mergeCell ref="B10:D10"/>
    <mergeCell ref="B11:D11"/>
    <mergeCell ref="B12:D12"/>
    <mergeCell ref="B13:D13"/>
    <mergeCell ref="B19:D19"/>
    <mergeCell ref="B18:D18"/>
    <mergeCell ref="B14:D14"/>
    <mergeCell ref="B15:D15"/>
    <mergeCell ref="B16:D16"/>
    <mergeCell ref="B17:D17"/>
    <mergeCell ref="B20:D20"/>
    <mergeCell ref="B21:D21"/>
    <mergeCell ref="B43:D43"/>
    <mergeCell ref="B42:D42"/>
    <mergeCell ref="B22:D22"/>
    <mergeCell ref="B23:D23"/>
    <mergeCell ref="B24:D24"/>
    <mergeCell ref="B32:D32"/>
    <mergeCell ref="B33:D33"/>
    <mergeCell ref="B48:D48"/>
    <mergeCell ref="H94:I94"/>
    <mergeCell ref="B34:D34"/>
    <mergeCell ref="B38:D38"/>
    <mergeCell ref="B44:D44"/>
    <mergeCell ref="B47:D47"/>
    <mergeCell ref="B61:D61"/>
    <mergeCell ref="B57:D57"/>
    <mergeCell ref="B60:D60"/>
    <mergeCell ref="B55:D55"/>
    <mergeCell ref="B56:D56"/>
    <mergeCell ref="H96:I96"/>
    <mergeCell ref="H85:I85"/>
    <mergeCell ref="E54:F54"/>
    <mergeCell ref="G90:H90"/>
    <mergeCell ref="G91:H91"/>
    <mergeCell ref="G92:H92"/>
  </mergeCells>
  <phoneticPr fontId="0" type="noConversion"/>
  <pageMargins left="0.75" right="0.75" top="1" bottom="1" header="0.5" footer="0.5"/>
  <pageSetup scale="4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theme="4" tint="0.39997558519241921"/>
    <pageSetUpPr fitToPage="1"/>
  </sheetPr>
  <dimension ref="A1:T73"/>
  <sheetViews>
    <sheetView showGridLines="0" topLeftCell="A43" zoomScale="80" zoomScaleNormal="80" workbookViewId="0">
      <selection activeCell="O45" sqref="O45"/>
    </sheetView>
  </sheetViews>
  <sheetFormatPr baseColWidth="10" defaultColWidth="9.140625" defaultRowHeight="12.75" x14ac:dyDescent="0.2"/>
  <cols>
    <col min="1" max="1" width="27.85546875" style="177" customWidth="1"/>
    <col min="2" max="2" width="9.28515625" style="177" bestFit="1" customWidth="1"/>
    <col min="3" max="3" width="10.140625" style="177" customWidth="1"/>
    <col min="4" max="4" width="10.7109375" style="177" customWidth="1"/>
    <col min="5" max="5" width="15.140625" style="177" bestFit="1" customWidth="1"/>
    <col min="6" max="6" width="9.7109375" style="177" bestFit="1" customWidth="1"/>
    <col min="7" max="7" width="10.28515625" style="177" customWidth="1"/>
    <col min="8" max="8" width="9.140625" style="177"/>
    <col min="9" max="9" width="10.42578125" style="177" customWidth="1"/>
    <col min="10" max="10" width="15" style="177" bestFit="1" customWidth="1"/>
    <col min="11" max="11" width="13" style="177" customWidth="1"/>
    <col min="12" max="12" width="9.140625" style="177"/>
    <col min="13" max="13" width="11.42578125" style="177" customWidth="1"/>
    <col min="14" max="14" width="9.140625" style="177"/>
    <col min="15" max="15" width="11.85546875" style="177" customWidth="1"/>
    <col min="16" max="16" width="12" style="177" customWidth="1"/>
    <col min="17" max="17" width="10.42578125" style="177" customWidth="1"/>
    <col min="18" max="18" width="12.140625" style="177" customWidth="1"/>
    <col min="19" max="16384" width="9.140625" style="177"/>
  </cols>
  <sheetData>
    <row r="1" spans="1:18" s="184" customFormat="1" ht="15.75" x14ac:dyDescent="0.25">
      <c r="A1" s="448" t="s">
        <v>25</v>
      </c>
      <c r="B1" s="449" t="str">
        <f>E7</f>
        <v>Fw1</v>
      </c>
      <c r="C1" s="449"/>
      <c r="D1" s="450"/>
      <c r="E1" s="450"/>
      <c r="F1" s="450"/>
      <c r="G1" s="402"/>
    </row>
    <row r="2" spans="1:18" s="184" customFormat="1" ht="15.75" x14ac:dyDescent="0.25">
      <c r="A2" s="448" t="s">
        <v>99</v>
      </c>
      <c r="B2" s="449" t="s">
        <v>206</v>
      </c>
      <c r="C2" s="449"/>
      <c r="D2" s="450"/>
      <c r="E2" s="450"/>
      <c r="F2" s="450"/>
      <c r="G2" s="402"/>
    </row>
    <row r="3" spans="1:18" s="184" customFormat="1" ht="15.75" x14ac:dyDescent="0.25">
      <c r="A3" s="448" t="s">
        <v>26</v>
      </c>
      <c r="B3" s="449">
        <f>'Matriz de flota'!B3</f>
        <v>0</v>
      </c>
      <c r="C3" s="449"/>
      <c r="D3" s="450"/>
      <c r="E3" s="450"/>
      <c r="F3" s="450"/>
      <c r="G3" s="402"/>
    </row>
    <row r="4" spans="1:18" s="184" customFormat="1" ht="15.75" x14ac:dyDescent="0.25">
      <c r="A4" s="448" t="s">
        <v>27</v>
      </c>
      <c r="B4" s="449">
        <f>'Matriz de flota'!B4</f>
        <v>0</v>
      </c>
      <c r="C4" s="449"/>
      <c r="D4" s="450"/>
      <c r="E4" s="450"/>
      <c r="F4" s="450"/>
      <c r="G4" s="402"/>
    </row>
    <row r="5" spans="1:18" s="184" customFormat="1" ht="15.75" x14ac:dyDescent="0.25">
      <c r="A5" s="448" t="s">
        <v>11</v>
      </c>
      <c r="B5" s="449">
        <f>'Matriz de flota'!B5</f>
        <v>0</v>
      </c>
      <c r="C5" s="449"/>
      <c r="D5" s="449"/>
      <c r="E5" s="449"/>
      <c r="F5" s="449"/>
      <c r="G5" s="403"/>
      <c r="H5" s="403"/>
      <c r="I5" s="403"/>
      <c r="J5" s="403"/>
      <c r="K5" s="403"/>
      <c r="L5" s="403"/>
      <c r="M5" s="403"/>
      <c r="N5" s="403"/>
      <c r="O5" s="403"/>
    </row>
    <row r="6" spans="1:18" ht="15.95" customHeight="1" x14ac:dyDescent="0.25">
      <c r="A6" s="184"/>
      <c r="B6" s="184"/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</row>
    <row r="7" spans="1:18" s="3" customFormat="1" ht="29.25" customHeight="1" x14ac:dyDescent="0.25">
      <c r="A7" s="132" t="s">
        <v>28</v>
      </c>
      <c r="B7" s="205"/>
      <c r="C7" s="205"/>
      <c r="D7" s="205"/>
      <c r="E7" s="209" t="s">
        <v>296</v>
      </c>
      <c r="F7" s="6"/>
      <c r="G7" s="132" t="s">
        <v>51</v>
      </c>
      <c r="H7" s="5"/>
      <c r="I7" s="5"/>
      <c r="J7" s="5"/>
      <c r="K7" s="5"/>
      <c r="L7" s="6"/>
      <c r="M7" s="132" t="s">
        <v>67</v>
      </c>
      <c r="N7" s="5"/>
      <c r="O7" s="5"/>
      <c r="P7" s="5"/>
      <c r="Q7" s="5"/>
      <c r="R7" s="6"/>
    </row>
    <row r="8" spans="1:18" s="3" customFormat="1" ht="15.95" customHeight="1" x14ac:dyDescent="0.25">
      <c r="A8" s="7" t="s">
        <v>29</v>
      </c>
      <c r="B8" s="8"/>
      <c r="C8" s="8"/>
      <c r="D8" s="8"/>
      <c r="E8" s="50">
        <v>350000</v>
      </c>
      <c r="F8" s="10" t="s">
        <v>37</v>
      </c>
      <c r="G8" s="7" t="s">
        <v>100</v>
      </c>
      <c r="H8" s="8"/>
      <c r="I8" s="8"/>
      <c r="J8" s="8"/>
      <c r="K8" s="11">
        <v>18</v>
      </c>
      <c r="L8" s="10" t="s">
        <v>301</v>
      </c>
      <c r="M8" s="7" t="s">
        <v>269</v>
      </c>
      <c r="N8" s="8"/>
      <c r="O8" s="8"/>
      <c r="P8" s="8"/>
      <c r="Q8" s="438">
        <f>40000/dolar</f>
        <v>1204.3114349370749</v>
      </c>
      <c r="R8" s="445" t="s">
        <v>58</v>
      </c>
    </row>
    <row r="9" spans="1:18" s="3" customFormat="1" ht="15.95" customHeight="1" x14ac:dyDescent="0.25">
      <c r="A9" s="7" t="s">
        <v>131</v>
      </c>
      <c r="B9" s="8"/>
      <c r="C9" s="8"/>
      <c r="D9" s="8"/>
      <c r="E9" s="95"/>
      <c r="F9" s="10" t="s">
        <v>37</v>
      </c>
      <c r="G9" s="7" t="s">
        <v>52</v>
      </c>
      <c r="H9" s="8"/>
      <c r="I9" s="8"/>
      <c r="J9" s="8"/>
      <c r="K9" s="111">
        <f>Listas!F3/dolar</f>
        <v>1.2163545492864454</v>
      </c>
      <c r="L9" s="10" t="s">
        <v>50</v>
      </c>
      <c r="M9" s="7" t="s">
        <v>68</v>
      </c>
      <c r="N9" s="8"/>
      <c r="O9" s="8"/>
      <c r="P9" s="8"/>
      <c r="Q9" s="13">
        <v>1.1499999999999999</v>
      </c>
      <c r="R9" s="445"/>
    </row>
    <row r="10" spans="1:18" s="3" customFormat="1" ht="15.95" customHeight="1" x14ac:dyDescent="0.25">
      <c r="A10" s="7" t="s">
        <v>30</v>
      </c>
      <c r="B10" s="212" t="s">
        <v>132</v>
      </c>
      <c r="C10" s="213"/>
      <c r="D10" s="214"/>
      <c r="E10" s="215">
        <v>0</v>
      </c>
      <c r="F10" s="10" t="s">
        <v>37</v>
      </c>
      <c r="G10" s="7" t="s">
        <v>254</v>
      </c>
      <c r="H10" s="8"/>
      <c r="I10" s="8"/>
      <c r="J10" s="8"/>
      <c r="K10" s="440">
        <v>4</v>
      </c>
      <c r="L10" s="10" t="s">
        <v>50</v>
      </c>
      <c r="M10" s="7" t="s">
        <v>253</v>
      </c>
      <c r="N10" s="8"/>
      <c r="O10" s="8"/>
      <c r="P10" s="8"/>
      <c r="Q10" s="15">
        <v>0.93</v>
      </c>
      <c r="R10" s="445"/>
    </row>
    <row r="11" spans="1:18" s="3" customFormat="1" ht="15.95" customHeight="1" x14ac:dyDescent="0.25">
      <c r="A11" s="7"/>
      <c r="B11" s="216" t="s">
        <v>31</v>
      </c>
      <c r="C11" s="217"/>
      <c r="D11" s="218"/>
      <c r="E11" s="219">
        <v>0</v>
      </c>
      <c r="F11" s="10" t="s">
        <v>37</v>
      </c>
      <c r="G11" s="7" t="s">
        <v>101</v>
      </c>
      <c r="H11" s="8"/>
      <c r="I11" s="8"/>
      <c r="J11" s="8"/>
      <c r="K11" s="131">
        <v>3</v>
      </c>
      <c r="L11" s="10" t="s">
        <v>50</v>
      </c>
      <c r="M11" s="7" t="s">
        <v>69</v>
      </c>
      <c r="N11" s="8"/>
      <c r="O11" s="8"/>
      <c r="P11" s="8"/>
      <c r="Q11" s="13">
        <v>0</v>
      </c>
      <c r="R11" s="445" t="s">
        <v>58</v>
      </c>
    </row>
    <row r="12" spans="1:18" s="3" customFormat="1" ht="15.95" customHeight="1" x14ac:dyDescent="0.25">
      <c r="A12" s="7"/>
      <c r="B12" s="216" t="s">
        <v>32</v>
      </c>
      <c r="C12" s="217"/>
      <c r="D12" s="218"/>
      <c r="E12" s="219">
        <v>0</v>
      </c>
      <c r="F12" s="10" t="s">
        <v>37</v>
      </c>
      <c r="G12" s="7" t="s">
        <v>256</v>
      </c>
      <c r="H12" s="8"/>
      <c r="I12" s="8"/>
      <c r="J12" s="8"/>
      <c r="K12" s="131">
        <v>8</v>
      </c>
      <c r="L12" s="10" t="s">
        <v>257</v>
      </c>
      <c r="M12" s="7" t="s">
        <v>270</v>
      </c>
      <c r="N12" s="8"/>
      <c r="O12" s="8"/>
      <c r="P12" s="8"/>
      <c r="Q12" s="14"/>
      <c r="R12" s="445"/>
    </row>
    <row r="13" spans="1:18" s="3" customFormat="1" ht="15.95" customHeight="1" x14ac:dyDescent="0.25">
      <c r="A13" s="7"/>
      <c r="B13" s="216" t="s">
        <v>32</v>
      </c>
      <c r="C13" s="217"/>
      <c r="D13" s="218"/>
      <c r="E13" s="219">
        <v>0</v>
      </c>
      <c r="F13" s="10" t="s">
        <v>37</v>
      </c>
      <c r="G13" s="7" t="s">
        <v>275</v>
      </c>
      <c r="H13" s="8"/>
      <c r="I13" s="8"/>
      <c r="J13" s="8"/>
      <c r="K13" s="131">
        <v>4</v>
      </c>
      <c r="L13" s="10" t="s">
        <v>50</v>
      </c>
      <c r="M13" s="7" t="s">
        <v>247</v>
      </c>
      <c r="N13" s="8"/>
      <c r="O13" s="8"/>
      <c r="P13" s="8"/>
      <c r="Q13" s="72">
        <f>(Q8*Q9)*(1+Q10)*12</f>
        <v>32075.63075811405</v>
      </c>
      <c r="R13" s="446" t="s">
        <v>62</v>
      </c>
    </row>
    <row r="14" spans="1:18" s="3" customFormat="1" ht="15.95" customHeight="1" x14ac:dyDescent="0.25">
      <c r="A14" s="7"/>
      <c r="B14" s="220" t="s">
        <v>32</v>
      </c>
      <c r="C14" s="221"/>
      <c r="D14" s="222"/>
      <c r="E14" s="223">
        <v>0</v>
      </c>
      <c r="F14" s="10" t="s">
        <v>37</v>
      </c>
      <c r="G14" s="7" t="s">
        <v>258</v>
      </c>
      <c r="H14" s="8"/>
      <c r="I14" s="8"/>
      <c r="J14" s="8"/>
      <c r="K14" s="433">
        <v>3</v>
      </c>
      <c r="L14" s="10" t="s">
        <v>50</v>
      </c>
      <c r="M14" s="7" t="s">
        <v>109</v>
      </c>
      <c r="N14" s="8"/>
      <c r="O14" s="8"/>
      <c r="P14" s="8"/>
      <c r="Q14" s="175">
        <v>0</v>
      </c>
      <c r="R14" s="446"/>
    </row>
    <row r="15" spans="1:18" s="3" customFormat="1" ht="15.95" customHeight="1" x14ac:dyDescent="0.25">
      <c r="A15" s="7" t="s">
        <v>102</v>
      </c>
      <c r="B15" s="8"/>
      <c r="C15" s="8"/>
      <c r="D15" s="8"/>
      <c r="E15" s="72">
        <f>SUM(E10:E14)</f>
        <v>0</v>
      </c>
      <c r="F15" s="10" t="s">
        <v>37</v>
      </c>
      <c r="H15" s="8"/>
      <c r="I15" s="8"/>
      <c r="J15" s="8"/>
      <c r="K15" s="8"/>
      <c r="L15" s="10"/>
      <c r="M15" s="7" t="s">
        <v>111</v>
      </c>
      <c r="N15" s="8"/>
      <c r="O15" s="8"/>
      <c r="P15" s="8"/>
      <c r="Q15" s="73">
        <f>Q11*12*(1+Q12)*Q9</f>
        <v>0</v>
      </c>
      <c r="R15" s="446" t="s">
        <v>62</v>
      </c>
    </row>
    <row r="16" spans="1:18" s="3" customFormat="1" ht="15.95" customHeight="1" x14ac:dyDescent="0.25">
      <c r="A16" s="7" t="s">
        <v>33</v>
      </c>
      <c r="B16" s="8"/>
      <c r="C16" s="8"/>
      <c r="D16" s="8"/>
      <c r="E16" s="73">
        <f>E8-E9+E15</f>
        <v>350000</v>
      </c>
      <c r="F16" s="10" t="s">
        <v>37</v>
      </c>
      <c r="G16" s="228" t="s">
        <v>138</v>
      </c>
      <c r="H16" s="229"/>
      <c r="I16" s="153" t="s">
        <v>90</v>
      </c>
      <c r="J16" s="153" t="s">
        <v>91</v>
      </c>
      <c r="K16" s="153" t="s">
        <v>302</v>
      </c>
      <c r="L16" s="10"/>
      <c r="M16" s="7" t="s">
        <v>112</v>
      </c>
      <c r="N16" s="8"/>
      <c r="O16" s="8"/>
      <c r="P16" s="8"/>
      <c r="Q16" s="73">
        <f>SUM(Q13:Q15)</f>
        <v>32075.63075811405</v>
      </c>
      <c r="R16" s="446" t="s">
        <v>62</v>
      </c>
    </row>
    <row r="17" spans="1:19" s="3" customFormat="1" ht="15.95" customHeight="1" x14ac:dyDescent="0.25">
      <c r="A17" s="26" t="s">
        <v>103</v>
      </c>
      <c r="B17" s="27"/>
      <c r="C17" s="27"/>
      <c r="D17" s="27" t="s">
        <v>0</v>
      </c>
      <c r="E17" s="74">
        <f>E22*12</f>
        <v>92966.804824034203</v>
      </c>
      <c r="F17" s="28" t="s">
        <v>37</v>
      </c>
      <c r="G17" s="16" t="s">
        <v>56</v>
      </c>
      <c r="H17" s="187"/>
      <c r="I17" s="188">
        <v>6</v>
      </c>
      <c r="J17" s="189">
        <v>4700</v>
      </c>
      <c r="K17" s="190">
        <v>20000</v>
      </c>
      <c r="L17" s="10"/>
      <c r="M17" s="7" t="s">
        <v>70</v>
      </c>
      <c r="N17" s="8"/>
      <c r="O17" s="8"/>
      <c r="P17" s="8"/>
      <c r="Q17" s="124">
        <f>Q16/E36</f>
        <v>8.0518882236927585</v>
      </c>
      <c r="R17" s="445" t="s">
        <v>298</v>
      </c>
    </row>
    <row r="18" spans="1:19" s="3" customFormat="1" ht="15.95" customHeight="1" x14ac:dyDescent="0.25">
      <c r="A18" s="132" t="s">
        <v>104</v>
      </c>
      <c r="B18" s="5"/>
      <c r="C18" s="5"/>
      <c r="D18" s="8"/>
      <c r="E18" s="29"/>
      <c r="F18" s="30"/>
      <c r="G18" s="191" t="s">
        <v>251</v>
      </c>
      <c r="H18" s="192"/>
      <c r="I18" s="193">
        <v>1</v>
      </c>
      <c r="J18" s="194">
        <v>12500</v>
      </c>
      <c r="K18" s="195">
        <v>20000</v>
      </c>
      <c r="L18" s="10"/>
      <c r="M18" s="26"/>
      <c r="N18" s="27"/>
      <c r="O18" s="27"/>
      <c r="P18" s="27"/>
      <c r="Q18" s="444"/>
      <c r="R18" s="28"/>
    </row>
    <row r="19" spans="1:19" s="3" customFormat="1" ht="15.95" customHeight="1" x14ac:dyDescent="0.25">
      <c r="A19" s="7" t="s">
        <v>34</v>
      </c>
      <c r="B19" s="8"/>
      <c r="C19" s="8"/>
      <c r="D19" s="200">
        <v>0.1</v>
      </c>
      <c r="E19" s="95">
        <f>D19*E16</f>
        <v>35000</v>
      </c>
      <c r="F19" s="10" t="s">
        <v>37</v>
      </c>
      <c r="G19" s="191" t="s">
        <v>32</v>
      </c>
      <c r="H19" s="192"/>
      <c r="I19" s="193">
        <v>0</v>
      </c>
      <c r="J19" s="194">
        <v>0</v>
      </c>
      <c r="K19" s="195">
        <v>0</v>
      </c>
      <c r="L19" s="10"/>
      <c r="M19" s="92" t="s">
        <v>89</v>
      </c>
      <c r="N19" s="42"/>
      <c r="O19" s="8"/>
      <c r="P19" s="8"/>
      <c r="Q19" s="10"/>
      <c r="R19" s="8"/>
      <c r="S19" s="6"/>
    </row>
    <row r="20" spans="1:19" s="3" customFormat="1" ht="15.95" customHeight="1" x14ac:dyDescent="0.25">
      <c r="A20" s="7" t="s">
        <v>105</v>
      </c>
      <c r="B20" s="8"/>
      <c r="C20" s="8"/>
      <c r="D20" s="8" t="s">
        <v>0</v>
      </c>
      <c r="E20" s="201">
        <v>7.0000000000000007E-2</v>
      </c>
      <c r="F20" s="10" t="s">
        <v>0</v>
      </c>
      <c r="G20" s="191" t="s">
        <v>32</v>
      </c>
      <c r="H20" s="192"/>
      <c r="I20" s="193">
        <v>0</v>
      </c>
      <c r="J20" s="194">
        <v>0</v>
      </c>
      <c r="K20" s="195">
        <v>0</v>
      </c>
      <c r="L20" s="10"/>
      <c r="M20" s="26"/>
      <c r="N20" s="208"/>
      <c r="O20" s="6" t="s">
        <v>12</v>
      </c>
      <c r="P20" s="143" t="s">
        <v>120</v>
      </c>
      <c r="Q20" s="143" t="s">
        <v>14</v>
      </c>
      <c r="R20" s="143" t="s">
        <v>83</v>
      </c>
      <c r="S20" s="42"/>
    </row>
    <row r="21" spans="1:19" s="3" customFormat="1" ht="15.95" customHeight="1" x14ac:dyDescent="0.25">
      <c r="A21" s="7" t="s">
        <v>35</v>
      </c>
      <c r="B21" s="39"/>
      <c r="C21" s="8"/>
      <c r="D21" s="40"/>
      <c r="E21" s="202">
        <v>48</v>
      </c>
      <c r="F21" s="10" t="s">
        <v>36</v>
      </c>
      <c r="G21" s="196" t="s">
        <v>32</v>
      </c>
      <c r="H21" s="197"/>
      <c r="I21" s="198">
        <v>0</v>
      </c>
      <c r="J21" s="199">
        <v>0</v>
      </c>
      <c r="K21" s="195">
        <v>0</v>
      </c>
      <c r="L21" s="232"/>
      <c r="M21" s="57" t="s">
        <v>210</v>
      </c>
      <c r="N21" s="49"/>
      <c r="O21" s="240">
        <v>0.3</v>
      </c>
      <c r="P21" s="240">
        <v>0.3</v>
      </c>
      <c r="Q21" s="240">
        <v>0.3</v>
      </c>
      <c r="R21" s="240">
        <v>0.3</v>
      </c>
      <c r="S21" s="10" t="s">
        <v>4</v>
      </c>
    </row>
    <row r="22" spans="1:19" s="3" customFormat="1" ht="15.95" customHeight="1" x14ac:dyDescent="0.25">
      <c r="A22" s="7" t="s">
        <v>72</v>
      </c>
      <c r="C22" s="8"/>
      <c r="D22" s="8"/>
      <c r="E22" s="74">
        <f>PMT(E20/12,E21,-E8,E19,0)</f>
        <v>7747.2337353361836</v>
      </c>
      <c r="F22" s="10" t="s">
        <v>37</v>
      </c>
      <c r="G22" s="51" t="s">
        <v>106</v>
      </c>
      <c r="H22" s="5"/>
      <c r="I22" s="227"/>
      <c r="J22" s="227"/>
      <c r="K22" s="384">
        <f>K8*K9</f>
        <v>21.894381887156015</v>
      </c>
      <c r="L22" s="10" t="s">
        <v>298</v>
      </c>
      <c r="M22" s="57" t="s">
        <v>142</v>
      </c>
      <c r="N22" s="49"/>
      <c r="O22" s="241">
        <v>19</v>
      </c>
      <c r="P22" s="138">
        <v>19</v>
      </c>
      <c r="Q22" s="138">
        <v>19</v>
      </c>
      <c r="R22" s="139">
        <v>19</v>
      </c>
      <c r="S22" s="10" t="s">
        <v>6</v>
      </c>
    </row>
    <row r="23" spans="1:19" s="3" customFormat="1" ht="15.95" customHeight="1" x14ac:dyDescent="0.25">
      <c r="A23" s="3" t="s">
        <v>0</v>
      </c>
      <c r="E23" s="3" t="s">
        <v>0</v>
      </c>
      <c r="F23" s="3" t="s">
        <v>0</v>
      </c>
      <c r="G23" s="7" t="s">
        <v>259</v>
      </c>
      <c r="H23" s="8"/>
      <c r="I23" s="8"/>
      <c r="J23" s="8"/>
      <c r="K23" s="383">
        <f>0.085*K10</f>
        <v>0.34</v>
      </c>
      <c r="L23" s="10" t="s">
        <v>298</v>
      </c>
      <c r="M23" s="57" t="s">
        <v>141</v>
      </c>
      <c r="N23" s="49"/>
      <c r="O23" s="242">
        <v>27</v>
      </c>
      <c r="P23" s="243">
        <v>31</v>
      </c>
      <c r="Q23" s="243">
        <v>28</v>
      </c>
      <c r="R23" s="244">
        <v>29</v>
      </c>
      <c r="S23" s="10" t="s">
        <v>1</v>
      </c>
    </row>
    <row r="24" spans="1:19" s="3" customFormat="1" ht="15.95" customHeight="1" x14ac:dyDescent="0.25">
      <c r="A24" s="132" t="s">
        <v>107</v>
      </c>
      <c r="B24" s="5"/>
      <c r="C24" s="5"/>
      <c r="D24" s="5"/>
      <c r="E24" s="5"/>
      <c r="F24" s="30"/>
      <c r="G24" s="7" t="s">
        <v>108</v>
      </c>
      <c r="H24" s="8"/>
      <c r="I24" s="8"/>
      <c r="J24" s="8"/>
      <c r="K24" s="383">
        <f>K11*0.24</f>
        <v>0.72</v>
      </c>
      <c r="L24" s="10" t="s">
        <v>298</v>
      </c>
      <c r="M24" s="206" t="s">
        <v>208</v>
      </c>
      <c r="N24" s="207"/>
      <c r="O24" s="237">
        <v>0.35</v>
      </c>
      <c r="P24" s="238"/>
      <c r="Q24" s="238">
        <v>0.55000000000000004</v>
      </c>
      <c r="R24" s="239">
        <v>0.1</v>
      </c>
      <c r="S24" s="10" t="s">
        <v>2</v>
      </c>
    </row>
    <row r="25" spans="1:19" s="3" customFormat="1" ht="15.95" customHeight="1" x14ac:dyDescent="0.25">
      <c r="A25" s="7" t="s">
        <v>110</v>
      </c>
      <c r="B25" s="8"/>
      <c r="C25" s="8"/>
      <c r="D25" s="8"/>
      <c r="E25" s="96">
        <v>365</v>
      </c>
      <c r="F25" s="42"/>
      <c r="G25" s="7" t="s">
        <v>260</v>
      </c>
      <c r="H25" s="8"/>
      <c r="I25" s="8"/>
      <c r="J25" s="8"/>
      <c r="K25" s="432">
        <f>0.06*K12</f>
        <v>0.48</v>
      </c>
      <c r="L25" s="10" t="s">
        <v>298</v>
      </c>
      <c r="M25" s="206" t="s">
        <v>143</v>
      </c>
      <c r="N25" s="208"/>
      <c r="O25" s="247">
        <f>O22/(O23/60)</f>
        <v>42.222222222222221</v>
      </c>
      <c r="P25" s="247">
        <f>P22/(P23/60)</f>
        <v>36.774193548387096</v>
      </c>
      <c r="Q25" s="247">
        <f>Q22/(Q23/60)</f>
        <v>40.714285714285715</v>
      </c>
      <c r="R25" s="248">
        <f>R22/(R23/60)</f>
        <v>39.310344827586206</v>
      </c>
      <c r="S25" s="28" t="s">
        <v>299</v>
      </c>
    </row>
    <row r="26" spans="1:19" s="3" customFormat="1" ht="15.95" customHeight="1" x14ac:dyDescent="0.25">
      <c r="A26" s="7" t="s">
        <v>38</v>
      </c>
      <c r="B26" s="8"/>
      <c r="C26" s="8"/>
      <c r="D26" s="8"/>
      <c r="E26" s="203">
        <v>52</v>
      </c>
      <c r="F26" s="42"/>
      <c r="G26" s="7" t="s">
        <v>277</v>
      </c>
      <c r="H26" s="8"/>
      <c r="I26" s="8"/>
      <c r="J26" s="8"/>
      <c r="K26" s="432">
        <f>0.1*K13</f>
        <v>0.4</v>
      </c>
      <c r="L26" s="10" t="s">
        <v>298</v>
      </c>
      <c r="M26" s="51"/>
      <c r="N26" s="5"/>
      <c r="O26" s="5"/>
      <c r="P26" s="5"/>
      <c r="Q26" s="5"/>
      <c r="R26" s="6"/>
    </row>
    <row r="27" spans="1:19" s="3" customFormat="1" ht="15.95" customHeight="1" x14ac:dyDescent="0.25">
      <c r="A27" s="7" t="s">
        <v>113</v>
      </c>
      <c r="B27" s="8"/>
      <c r="C27" s="8"/>
      <c r="D27" s="8"/>
      <c r="E27" s="203">
        <v>10</v>
      </c>
      <c r="F27" s="42"/>
      <c r="G27" s="7" t="s">
        <v>261</v>
      </c>
      <c r="H27" s="8"/>
      <c r="I27" s="8"/>
      <c r="J27" s="8"/>
      <c r="K27" s="432">
        <f>0.025*K14</f>
        <v>7.5000000000000011E-2</v>
      </c>
      <c r="L27" s="10" t="s">
        <v>298</v>
      </c>
      <c r="M27" s="51" t="s">
        <v>78</v>
      </c>
      <c r="N27" s="5"/>
      <c r="O27" s="5"/>
      <c r="P27" s="111">
        <f>SUMPRODUCT(O25:R25,O24:R24)</f>
        <v>41.101669403393544</v>
      </c>
      <c r="Q27" s="246" t="s">
        <v>299</v>
      </c>
      <c r="R27" s="42"/>
    </row>
    <row r="28" spans="1:19" s="3" customFormat="1" ht="15.95" customHeight="1" x14ac:dyDescent="0.25">
      <c r="A28" s="7" t="s">
        <v>114</v>
      </c>
      <c r="B28" s="8"/>
      <c r="C28" s="8"/>
      <c r="D28" s="8"/>
      <c r="E28" s="203">
        <v>10</v>
      </c>
      <c r="F28" s="42"/>
      <c r="G28" s="26" t="s">
        <v>139</v>
      </c>
      <c r="H28" s="27"/>
      <c r="I28" s="27"/>
      <c r="J28" s="27"/>
      <c r="K28" s="443">
        <f>IF(K17=0,0,(I17*J17/K17))+IF(K18=0,0,(I18*J18/K18))+IF(K19=0,0,(I19*J19/K19))+IF(K20=0,0,(I20*J20/K20))+IF(K21=0,0,(I21*J21/K21))</f>
        <v>2.0350000000000001</v>
      </c>
      <c r="L28" s="442" t="s">
        <v>298</v>
      </c>
      <c r="M28" s="7"/>
      <c r="N28" s="8"/>
      <c r="O28" s="8"/>
      <c r="P28" s="112">
        <f>P27*E35</f>
        <v>599.75555993431851</v>
      </c>
      <c r="Q28" s="236" t="s">
        <v>125</v>
      </c>
      <c r="R28" s="42"/>
    </row>
    <row r="29" spans="1:19" s="3" customFormat="1" ht="15.95" customHeight="1" x14ac:dyDescent="0.25">
      <c r="A29" s="7" t="s">
        <v>115</v>
      </c>
      <c r="B29" s="8"/>
      <c r="C29" s="8"/>
      <c r="D29" s="8"/>
      <c r="E29" s="202">
        <v>20</v>
      </c>
      <c r="F29" s="42"/>
      <c r="G29" s="51" t="s">
        <v>272</v>
      </c>
      <c r="H29" s="5"/>
      <c r="I29" s="5"/>
      <c r="J29" s="5"/>
      <c r="K29" s="389">
        <f t="shared" ref="K29:K35" si="0">K22*E$36</f>
        <v>87218.80999578489</v>
      </c>
      <c r="L29" s="435" t="s">
        <v>62</v>
      </c>
      <c r="M29" s="26"/>
      <c r="N29" s="27"/>
      <c r="O29" s="27"/>
      <c r="P29" s="113">
        <f>P28*E30</f>
        <v>163733.26786206895</v>
      </c>
      <c r="Q29" s="246" t="s">
        <v>79</v>
      </c>
      <c r="R29" s="42"/>
    </row>
    <row r="30" spans="1:19" s="3" customFormat="1" ht="15.95" customHeight="1" x14ac:dyDescent="0.25">
      <c r="A30" s="7" t="s">
        <v>117</v>
      </c>
      <c r="B30" s="8"/>
      <c r="C30" s="8"/>
      <c r="D30" s="8"/>
      <c r="E30" s="97">
        <f>E25-E26-E27-E28-E29</f>
        <v>273</v>
      </c>
      <c r="F30" s="10" t="s">
        <v>118</v>
      </c>
      <c r="G30" s="7" t="s">
        <v>262</v>
      </c>
      <c r="H30" s="8"/>
      <c r="I30" s="8"/>
      <c r="J30" s="8"/>
      <c r="K30" s="107">
        <f t="shared" si="0"/>
        <v>1354.4294399999999</v>
      </c>
      <c r="L30" s="117" t="s">
        <v>62</v>
      </c>
      <c r="M30" s="7"/>
      <c r="N30" s="8"/>
      <c r="O30" s="8"/>
      <c r="P30" s="8"/>
      <c r="Q30" s="8"/>
      <c r="R30" s="42"/>
    </row>
    <row r="31" spans="1:19" s="3" customFormat="1" ht="15.95" customHeight="1" x14ac:dyDescent="0.25">
      <c r="A31" s="7" t="s">
        <v>119</v>
      </c>
      <c r="B31" s="8"/>
      <c r="C31" s="8"/>
      <c r="D31" s="40"/>
      <c r="E31" s="203">
        <v>9.6</v>
      </c>
      <c r="F31" s="10" t="s">
        <v>297</v>
      </c>
      <c r="G31" s="7" t="s">
        <v>263</v>
      </c>
      <c r="H31" s="8"/>
      <c r="I31" s="8"/>
      <c r="J31" s="8"/>
      <c r="K31" s="107">
        <f t="shared" si="0"/>
        <v>2868.2035199999996</v>
      </c>
      <c r="L31" s="117" t="s">
        <v>62</v>
      </c>
      <c r="M31" s="7"/>
      <c r="N31" s="8"/>
      <c r="O31" s="8"/>
      <c r="P31" s="8"/>
      <c r="Q31" s="8"/>
      <c r="R31" s="42"/>
    </row>
    <row r="32" spans="1:19" s="3" customFormat="1" ht="15.95" customHeight="1" x14ac:dyDescent="0.25">
      <c r="A32" s="7" t="s">
        <v>39</v>
      </c>
      <c r="B32" s="8"/>
      <c r="C32" s="8"/>
      <c r="D32" s="8"/>
      <c r="E32" s="203">
        <v>2</v>
      </c>
      <c r="F32" s="10"/>
      <c r="G32" s="7" t="s">
        <v>264</v>
      </c>
      <c r="H32" s="8"/>
      <c r="I32" s="8"/>
      <c r="J32" s="8"/>
      <c r="K32" s="107">
        <f t="shared" si="0"/>
        <v>1912.1356799999996</v>
      </c>
      <c r="L32" s="117" t="s">
        <v>62</v>
      </c>
      <c r="M32" s="26"/>
      <c r="N32" s="27"/>
      <c r="O32" s="27"/>
      <c r="P32" s="27"/>
      <c r="Q32" s="27"/>
      <c r="R32" s="52"/>
    </row>
    <row r="33" spans="1:19" s="3" customFormat="1" ht="15.95" customHeight="1" x14ac:dyDescent="0.25">
      <c r="A33" s="7" t="s">
        <v>303</v>
      </c>
      <c r="B33" s="8"/>
      <c r="C33" s="8"/>
      <c r="D33" s="8"/>
      <c r="E33" s="186">
        <v>0.88</v>
      </c>
      <c r="F33" s="10"/>
      <c r="G33" s="7" t="s">
        <v>279</v>
      </c>
      <c r="H33" s="8"/>
      <c r="I33" s="8"/>
      <c r="J33" s="8"/>
      <c r="K33" s="107">
        <f t="shared" si="0"/>
        <v>1593.4463999999998</v>
      </c>
      <c r="L33" s="117" t="s">
        <v>62</v>
      </c>
      <c r="M33" s="424"/>
      <c r="N33" s="177"/>
      <c r="O33" s="177"/>
      <c r="P33" s="177"/>
      <c r="Q33" s="177"/>
    </row>
    <row r="34" spans="1:19" s="3" customFormat="1" ht="15.95" customHeight="1" x14ac:dyDescent="0.25">
      <c r="A34" s="7" t="s">
        <v>304</v>
      </c>
      <c r="B34" s="8"/>
      <c r="C34" s="8"/>
      <c r="D34" s="8"/>
      <c r="E34" s="48">
        <v>0.76</v>
      </c>
      <c r="F34" s="10"/>
      <c r="G34" s="7" t="s">
        <v>265</v>
      </c>
      <c r="H34" s="8"/>
      <c r="I34" s="8"/>
      <c r="J34" s="8"/>
      <c r="K34" s="107">
        <f t="shared" si="0"/>
        <v>298.77120000000002</v>
      </c>
      <c r="L34" s="117" t="s">
        <v>62</v>
      </c>
      <c r="N34" s="177"/>
      <c r="O34" s="177"/>
      <c r="P34" s="177"/>
      <c r="Q34" s="177"/>
    </row>
    <row r="35" spans="1:19" s="3" customFormat="1" ht="15.95" customHeight="1" x14ac:dyDescent="0.25">
      <c r="A35" s="7" t="s">
        <v>121</v>
      </c>
      <c r="B35" s="8"/>
      <c r="C35" s="8"/>
      <c r="D35" s="8"/>
      <c r="E35" s="98">
        <f>E31*E32*E34</f>
        <v>14.591999999999999</v>
      </c>
      <c r="F35" s="10" t="s">
        <v>297</v>
      </c>
      <c r="G35" s="26" t="s">
        <v>273</v>
      </c>
      <c r="H35" s="27"/>
      <c r="I35" s="27"/>
      <c r="J35" s="27"/>
      <c r="K35" s="431">
        <f t="shared" si="0"/>
        <v>8106.6585599999999</v>
      </c>
      <c r="L35" s="118" t="s">
        <v>62</v>
      </c>
      <c r="M35" s="177"/>
      <c r="N35" s="177"/>
      <c r="O35" s="177"/>
      <c r="P35" s="177"/>
      <c r="Q35" s="177"/>
      <c r="S35" s="4"/>
    </row>
    <row r="36" spans="1:19" s="3" customFormat="1" ht="15.95" customHeight="1" x14ac:dyDescent="0.25">
      <c r="A36" s="7" t="s">
        <v>129</v>
      </c>
      <c r="B36" s="8"/>
      <c r="C36" s="8"/>
      <c r="D36" s="8"/>
      <c r="E36" s="74">
        <f>E35*E30</f>
        <v>3983.6159999999995</v>
      </c>
      <c r="F36" s="46" t="s">
        <v>297</v>
      </c>
      <c r="G36" s="245" t="s">
        <v>75</v>
      </c>
      <c r="H36" s="5"/>
      <c r="I36" s="5"/>
      <c r="J36" s="5"/>
      <c r="K36" s="5"/>
      <c r="L36" s="30"/>
      <c r="M36" s="177"/>
      <c r="N36" s="177"/>
      <c r="O36" s="177"/>
      <c r="P36" s="177"/>
      <c r="Q36" s="177"/>
      <c r="R36" s="177"/>
    </row>
    <row r="37" spans="1:19" s="3" customFormat="1" ht="15.95" customHeight="1" x14ac:dyDescent="0.25">
      <c r="A37" s="7" t="s">
        <v>123</v>
      </c>
      <c r="B37" s="8"/>
      <c r="C37" s="8"/>
      <c r="D37" s="8"/>
      <c r="E37" s="50">
        <v>20000</v>
      </c>
      <c r="F37" s="46" t="s">
        <v>297</v>
      </c>
      <c r="G37" s="7" t="s">
        <v>74</v>
      </c>
      <c r="H37" s="8"/>
      <c r="I37" s="8"/>
      <c r="J37" s="8"/>
      <c r="K37" s="441">
        <v>17</v>
      </c>
      <c r="L37" s="10" t="s">
        <v>298</v>
      </c>
      <c r="M37" s="177"/>
      <c r="N37" s="177"/>
      <c r="O37" s="177"/>
      <c r="P37" s="177"/>
      <c r="Q37" s="177"/>
      <c r="R37" s="177"/>
    </row>
    <row r="38" spans="1:19" s="3" customFormat="1" ht="15.95" customHeight="1" x14ac:dyDescent="0.25">
      <c r="A38" s="7" t="s">
        <v>130</v>
      </c>
      <c r="B38" s="8"/>
      <c r="C38" s="8"/>
      <c r="D38" s="8"/>
      <c r="E38" s="99">
        <f>E37/E36</f>
        <v>5.0205642310905478</v>
      </c>
      <c r="F38" s="46" t="s">
        <v>133</v>
      </c>
      <c r="G38" s="7" t="s">
        <v>285</v>
      </c>
      <c r="H38" s="8"/>
      <c r="I38" s="8"/>
      <c r="J38" s="8"/>
      <c r="K38" s="115">
        <f>K37*0.3</f>
        <v>5.0999999999999996</v>
      </c>
      <c r="L38" s="10" t="s">
        <v>298</v>
      </c>
      <c r="M38" s="177"/>
      <c r="N38" s="177"/>
      <c r="O38" s="177"/>
      <c r="P38" s="177"/>
      <c r="Q38" s="177"/>
      <c r="R38" s="177"/>
    </row>
    <row r="39" spans="1:19" s="3" customFormat="1" ht="15.95" customHeight="1" x14ac:dyDescent="0.25">
      <c r="A39" s="7"/>
      <c r="B39" s="8"/>
      <c r="C39" s="8"/>
      <c r="D39" s="8"/>
      <c r="E39" s="8"/>
      <c r="F39" s="8"/>
      <c r="G39" s="26" t="s">
        <v>282</v>
      </c>
      <c r="H39" s="27"/>
      <c r="I39" s="27"/>
      <c r="J39" s="27"/>
      <c r="K39" s="74">
        <f>SUM(K37:K38)*E36</f>
        <v>88037.9136</v>
      </c>
      <c r="L39" s="118" t="s">
        <v>62</v>
      </c>
      <c r="M39" s="177"/>
      <c r="N39" s="177"/>
      <c r="O39" s="177"/>
      <c r="P39" s="177"/>
      <c r="Q39" s="177"/>
      <c r="R39" s="177"/>
    </row>
    <row r="40" spans="1:19" s="3" customFormat="1" ht="15.95" customHeight="1" x14ac:dyDescent="0.25">
      <c r="A40" s="92" t="s">
        <v>41</v>
      </c>
      <c r="B40" s="8"/>
      <c r="C40" s="8"/>
      <c r="D40" s="8"/>
      <c r="E40" s="8"/>
      <c r="F40" s="8"/>
      <c r="G40" s="53" t="s">
        <v>122</v>
      </c>
      <c r="H40" s="5"/>
      <c r="I40" s="5"/>
      <c r="J40" s="5"/>
      <c r="K40" s="8"/>
      <c r="L40" s="204"/>
      <c r="M40" s="177"/>
      <c r="N40" s="177"/>
      <c r="O40" s="177"/>
      <c r="P40" s="177"/>
      <c r="Q40" s="177"/>
      <c r="R40" s="177"/>
    </row>
    <row r="41" spans="1:19" s="3" customFormat="1" ht="15.95" customHeight="1" x14ac:dyDescent="0.25">
      <c r="A41" s="7" t="s">
        <v>248</v>
      </c>
      <c r="B41" s="8" t="s">
        <v>249</v>
      </c>
      <c r="C41" s="8"/>
      <c r="D41" s="8"/>
      <c r="E41" s="90">
        <f>40500*25%</f>
        <v>10125</v>
      </c>
      <c r="F41" s="117" t="s">
        <v>62</v>
      </c>
      <c r="G41" s="7" t="s">
        <v>63</v>
      </c>
      <c r="H41" s="8"/>
      <c r="I41" s="8"/>
      <c r="J41" s="8"/>
      <c r="K41" s="215">
        <v>0</v>
      </c>
      <c r="L41" s="10"/>
      <c r="M41" s="177"/>
      <c r="N41" s="177"/>
      <c r="O41" s="177"/>
      <c r="P41" s="177"/>
      <c r="Q41" s="177"/>
      <c r="R41" s="177"/>
    </row>
    <row r="42" spans="1:19" s="3" customFormat="1" ht="15.95" customHeight="1" x14ac:dyDescent="0.25">
      <c r="A42" s="7"/>
      <c r="B42" s="8" t="s">
        <v>250</v>
      </c>
      <c r="C42" s="8"/>
      <c r="D42" s="8"/>
      <c r="E42" s="224">
        <f>1%*E8</f>
        <v>3500</v>
      </c>
      <c r="F42" s="117" t="s">
        <v>62</v>
      </c>
      <c r="G42" s="7" t="s">
        <v>64</v>
      </c>
      <c r="H42" s="8"/>
      <c r="I42" s="8"/>
      <c r="J42" s="8"/>
      <c r="K42" s="223">
        <v>1000</v>
      </c>
      <c r="L42" s="10" t="s">
        <v>37</v>
      </c>
      <c r="M42" s="177"/>
      <c r="N42" s="177"/>
      <c r="O42" s="177"/>
      <c r="P42" s="177"/>
      <c r="Q42" s="177"/>
      <c r="R42" s="177"/>
    </row>
    <row r="43" spans="1:19" s="3" customFormat="1" ht="15.95" customHeight="1" x14ac:dyDescent="0.25">
      <c r="A43" s="7" t="s">
        <v>42</v>
      </c>
      <c r="B43" s="8"/>
      <c r="C43" s="8"/>
      <c r="D43" s="8"/>
      <c r="E43" s="224">
        <f>2%*E8</f>
        <v>7000</v>
      </c>
      <c r="F43" s="117" t="s">
        <v>62</v>
      </c>
      <c r="G43" s="7" t="s">
        <v>65</v>
      </c>
      <c r="H43" s="8"/>
      <c r="I43" s="8"/>
      <c r="J43" s="8"/>
      <c r="K43" s="72">
        <f>K42*K41</f>
        <v>0</v>
      </c>
      <c r="L43" s="117" t="s">
        <v>62</v>
      </c>
      <c r="M43" s="177"/>
      <c r="N43" s="177"/>
      <c r="O43" s="177"/>
      <c r="P43" s="177"/>
      <c r="Q43" s="177"/>
      <c r="R43" s="177"/>
    </row>
    <row r="44" spans="1:19" s="3" customFormat="1" ht="15.95" customHeight="1" x14ac:dyDescent="0.25">
      <c r="A44" s="7" t="s">
        <v>76</v>
      </c>
      <c r="B44" s="8"/>
      <c r="C44" s="8"/>
      <c r="D44" s="8"/>
      <c r="E44" s="224"/>
      <c r="F44" s="46"/>
      <c r="G44" s="26" t="s">
        <v>66</v>
      </c>
      <c r="H44" s="8"/>
      <c r="I44" s="8"/>
      <c r="J44" s="8"/>
      <c r="K44" s="114">
        <f>K43/E36</f>
        <v>0</v>
      </c>
      <c r="L44" s="28" t="s">
        <v>298</v>
      </c>
      <c r="M44" s="177"/>
      <c r="N44" s="177"/>
      <c r="O44" s="177"/>
      <c r="P44" s="177"/>
      <c r="Q44" s="177"/>
      <c r="R44" s="177"/>
    </row>
    <row r="45" spans="1:19" s="3" customFormat="1" ht="15.95" customHeight="1" x14ac:dyDescent="0.25">
      <c r="A45" s="7"/>
      <c r="B45" s="8"/>
      <c r="C45" s="8"/>
      <c r="D45" s="8"/>
      <c r="E45" s="8"/>
      <c r="F45" s="46"/>
      <c r="G45" s="132" t="s">
        <v>86</v>
      </c>
      <c r="H45" s="5"/>
      <c r="I45" s="5"/>
      <c r="J45" s="5"/>
      <c r="K45" s="5"/>
      <c r="L45" s="30"/>
      <c r="M45" s="177"/>
      <c r="N45" s="177"/>
      <c r="O45" s="177"/>
      <c r="P45" s="177"/>
      <c r="Q45" s="177"/>
      <c r="R45" s="177"/>
    </row>
    <row r="46" spans="1:19" s="3" customFormat="1" ht="15.95" customHeight="1" x14ac:dyDescent="0.25">
      <c r="A46" s="133" t="s">
        <v>43</v>
      </c>
      <c r="B46" s="27"/>
      <c r="C46" s="27"/>
      <c r="D46" s="200">
        <v>0.12</v>
      </c>
      <c r="E46" s="100">
        <f>SUM(D51,D55)*D46</f>
        <v>40446.936477351977</v>
      </c>
      <c r="F46" s="119" t="s">
        <v>37</v>
      </c>
      <c r="G46" s="57" t="s">
        <v>140</v>
      </c>
      <c r="H46" s="8"/>
      <c r="I46" s="8"/>
      <c r="J46" s="8"/>
      <c r="K46" s="50">
        <v>300000</v>
      </c>
      <c r="L46" s="47" t="s">
        <v>6</v>
      </c>
      <c r="M46" s="177"/>
      <c r="N46" s="177"/>
      <c r="O46" s="177"/>
      <c r="P46" s="177"/>
      <c r="Q46" s="177"/>
      <c r="R46" s="177"/>
    </row>
    <row r="47" spans="1:19" s="3" customFormat="1" ht="15.95" customHeight="1" thickBot="1" x14ac:dyDescent="0.3">
      <c r="A47" s="53"/>
      <c r="B47" s="5"/>
      <c r="C47" s="5"/>
      <c r="D47" s="5"/>
      <c r="E47" s="5"/>
      <c r="F47" s="5"/>
      <c r="G47" s="57" t="s">
        <v>84</v>
      </c>
      <c r="H47" s="8"/>
      <c r="I47" s="8"/>
      <c r="J47" s="8"/>
      <c r="K47" s="111">
        <f>K46/E36</f>
        <v>75.308463466358205</v>
      </c>
      <c r="L47" s="47" t="s">
        <v>299</v>
      </c>
      <c r="M47" s="177"/>
      <c r="N47" s="177"/>
      <c r="O47" s="177"/>
      <c r="P47" s="177"/>
      <c r="Q47" s="177"/>
      <c r="R47" s="177"/>
    </row>
    <row r="48" spans="1:19" s="3" customFormat="1" ht="15.95" customHeight="1" x14ac:dyDescent="0.25">
      <c r="A48" s="120" t="s">
        <v>48</v>
      </c>
      <c r="B48" s="498" t="s">
        <v>59</v>
      </c>
      <c r="C48" s="499"/>
      <c r="D48" s="500"/>
      <c r="E48" s="54" t="s">
        <v>61</v>
      </c>
      <c r="F48" s="116" t="s">
        <v>2</v>
      </c>
      <c r="G48" s="57" t="s">
        <v>85</v>
      </c>
      <c r="H48" s="8"/>
      <c r="I48" s="8"/>
      <c r="J48" s="8"/>
      <c r="K48" s="114">
        <f>K46/P29</f>
        <v>1.8322482896556118</v>
      </c>
      <c r="L48" s="10"/>
      <c r="M48" s="177"/>
      <c r="N48" s="177"/>
      <c r="O48" s="177"/>
      <c r="P48" s="177"/>
      <c r="Q48" s="177"/>
      <c r="R48" s="177"/>
    </row>
    <row r="49" spans="1:20" s="3" customFormat="1" ht="15.95" customHeight="1" x14ac:dyDescent="0.25">
      <c r="A49" s="79"/>
      <c r="B49" s="163" t="s">
        <v>298</v>
      </c>
      <c r="C49" s="164" t="s">
        <v>58</v>
      </c>
      <c r="D49" s="165" t="s">
        <v>62</v>
      </c>
      <c r="E49" s="163" t="s">
        <v>62</v>
      </c>
      <c r="F49" s="166" t="s">
        <v>88</v>
      </c>
      <c r="G49" s="57" t="s">
        <v>87</v>
      </c>
      <c r="H49" s="8"/>
      <c r="I49" s="8"/>
      <c r="J49" s="8"/>
      <c r="K49" s="113">
        <f>ROUNDUP(K48,0)</f>
        <v>2</v>
      </c>
      <c r="L49" s="10"/>
      <c r="M49" s="177"/>
      <c r="N49" s="177"/>
      <c r="O49" s="177"/>
      <c r="P49" s="177"/>
      <c r="Q49" s="177"/>
      <c r="R49" s="177"/>
    </row>
    <row r="50" spans="1:20" s="3" customFormat="1" ht="15.95" customHeight="1" x14ac:dyDescent="0.25">
      <c r="A50" s="225" t="s">
        <v>49</v>
      </c>
      <c r="B50" s="101">
        <f t="shared" ref="B50:B61" si="1">(D50/E$36)</f>
        <v>10.153322126769242</v>
      </c>
      <c r="C50" s="72">
        <f>D50/12</f>
        <v>3370.5780397793314</v>
      </c>
      <c r="D50" s="126">
        <f>E46</f>
        <v>40446.936477351977</v>
      </c>
      <c r="E50" s="102">
        <f>D50*K$49</f>
        <v>80893.872954703955</v>
      </c>
      <c r="F50" s="103">
        <f>E50/E$63</f>
        <v>9.8360655737704916E-2</v>
      </c>
      <c r="G50" s="7"/>
      <c r="H50" s="8"/>
      <c r="I50" s="8"/>
      <c r="J50" s="8"/>
      <c r="K50" s="8"/>
      <c r="L50" s="10"/>
      <c r="M50" s="177"/>
      <c r="N50" s="177"/>
      <c r="O50" s="177"/>
      <c r="P50" s="177"/>
      <c r="Q50" s="177"/>
      <c r="R50" s="177"/>
    </row>
    <row r="51" spans="1:20" s="3" customFormat="1" ht="15.95" customHeight="1" x14ac:dyDescent="0.25">
      <c r="A51" s="225" t="s">
        <v>44</v>
      </c>
      <c r="B51" s="167">
        <f t="shared" si="1"/>
        <v>28.514747612228241</v>
      </c>
      <c r="C51" s="95">
        <f>D51/12</f>
        <v>9465.9837353361836</v>
      </c>
      <c r="D51" s="168">
        <f>SUM(D52:D54)</f>
        <v>113591.8048240342</v>
      </c>
      <c r="E51" s="156">
        <f>SUM(E52:E54)</f>
        <v>227183.60964806841</v>
      </c>
      <c r="F51" s="169">
        <f>E51/E$63</f>
        <v>0.2762375937959512</v>
      </c>
      <c r="G51" s="7"/>
      <c r="H51" s="8"/>
      <c r="I51" s="8"/>
      <c r="J51" s="8"/>
      <c r="K51" s="8"/>
      <c r="L51" s="10"/>
      <c r="M51" s="177"/>
      <c r="N51" s="177"/>
      <c r="O51" s="177"/>
      <c r="P51" s="177"/>
      <c r="Q51" s="177"/>
      <c r="R51" s="177"/>
      <c r="S51" s="177"/>
      <c r="T51" s="177"/>
    </row>
    <row r="52" spans="1:20" s="3" customFormat="1" ht="15.95" customHeight="1" x14ac:dyDescent="0.25">
      <c r="A52" s="122" t="s">
        <v>126</v>
      </c>
      <c r="B52" s="106">
        <f t="shared" si="1"/>
        <v>23.337290748916114</v>
      </c>
      <c r="C52" s="107">
        <f>D52/12</f>
        <v>7747.2337353361836</v>
      </c>
      <c r="D52" s="127">
        <f>+E17</f>
        <v>92966.804824034203</v>
      </c>
      <c r="E52" s="108">
        <f>D52*K$49</f>
        <v>185933.60964806841</v>
      </c>
      <c r="F52" s="109">
        <f>E52/E$63</f>
        <v>0.22608080316420295</v>
      </c>
      <c r="G52" s="7"/>
      <c r="H52" s="8"/>
      <c r="I52" s="8"/>
      <c r="J52" s="8"/>
      <c r="K52" s="8"/>
      <c r="L52" s="10"/>
      <c r="M52" s="177"/>
      <c r="N52" s="177"/>
      <c r="O52" s="177"/>
      <c r="P52" s="177"/>
      <c r="Q52" s="177"/>
      <c r="R52" s="177"/>
      <c r="S52" s="177"/>
      <c r="T52" s="177"/>
    </row>
    <row r="53" spans="1:20" s="3" customFormat="1" ht="15.95" customHeight="1" x14ac:dyDescent="0.25">
      <c r="A53" s="122" t="s">
        <v>46</v>
      </c>
      <c r="B53" s="106">
        <f t="shared" si="1"/>
        <v>1.7571974808816917</v>
      </c>
      <c r="C53" s="107">
        <f>D53/12</f>
        <v>583.33333333333337</v>
      </c>
      <c r="D53" s="127">
        <f>E43</f>
        <v>7000</v>
      </c>
      <c r="E53" s="108">
        <f>D53*K$49</f>
        <v>14000</v>
      </c>
      <c r="F53" s="109">
        <f>E53/E$63</f>
        <v>1.7022910759866068E-2</v>
      </c>
      <c r="G53" s="27"/>
      <c r="H53" s="27"/>
      <c r="I53" s="27"/>
      <c r="J53" s="27"/>
      <c r="K53" s="27"/>
      <c r="L53" s="28"/>
      <c r="M53" s="177"/>
      <c r="N53" s="177"/>
      <c r="O53" s="177"/>
      <c r="P53" s="177"/>
      <c r="Q53" s="177"/>
      <c r="R53" s="177"/>
      <c r="S53" s="177"/>
      <c r="T53" s="177"/>
    </row>
    <row r="54" spans="1:20" s="3" customFormat="1" ht="15.95" customHeight="1" x14ac:dyDescent="0.25">
      <c r="A54" s="79" t="s">
        <v>77</v>
      </c>
      <c r="B54" s="106">
        <f t="shared" si="1"/>
        <v>3.4202593824304355</v>
      </c>
      <c r="C54" s="107">
        <f>D54/12</f>
        <v>1135.4166666666667</v>
      </c>
      <c r="D54" s="127">
        <f>E41+E42+E44</f>
        <v>13625</v>
      </c>
      <c r="E54" s="108">
        <f>D54*K$49</f>
        <v>27250</v>
      </c>
      <c r="F54" s="109">
        <f>E54/E$63</f>
        <v>3.3133879871882169E-2</v>
      </c>
      <c r="G54" s="134" t="s">
        <v>92</v>
      </c>
      <c r="H54" s="5"/>
      <c r="I54" s="5"/>
      <c r="J54" s="5"/>
      <c r="K54" s="5"/>
      <c r="L54" s="6"/>
      <c r="M54" s="177"/>
      <c r="N54" s="177"/>
      <c r="O54" s="177"/>
      <c r="P54" s="177"/>
      <c r="Q54" s="177"/>
      <c r="R54" s="177"/>
      <c r="S54" s="177"/>
      <c r="T54" s="177"/>
    </row>
    <row r="55" spans="1:20" s="3" customFormat="1" ht="15.95" customHeight="1" x14ac:dyDescent="0.25">
      <c r="A55" s="225" t="s">
        <v>47</v>
      </c>
      <c r="B55" s="167">
        <f>SUM(B56:B61)</f>
        <v>56.096270110848778</v>
      </c>
      <c r="C55" s="95">
        <f>SUM(C56:C61)</f>
        <v>18622.166596158244</v>
      </c>
      <c r="D55" s="168">
        <f>SUM(D56:D61)</f>
        <v>223465.99915389891</v>
      </c>
      <c r="E55" s="156">
        <f>SUM(E56:E61)</f>
        <v>446931.99830779782</v>
      </c>
      <c r="F55" s="169">
        <f>SUM(F56:F61)</f>
        <v>0.54343453735158975</v>
      </c>
      <c r="G55" s="8"/>
      <c r="H55" s="8"/>
      <c r="I55" s="8"/>
      <c r="J55" s="8"/>
      <c r="K55" s="8"/>
      <c r="L55" s="42"/>
      <c r="M55" s="177"/>
      <c r="N55" s="177"/>
      <c r="O55" s="177"/>
      <c r="P55" s="177"/>
      <c r="Q55" s="177"/>
      <c r="R55" s="177"/>
      <c r="S55" s="177"/>
      <c r="T55" s="177"/>
    </row>
    <row r="56" spans="1:20" s="3" customFormat="1" ht="15.95" customHeight="1" x14ac:dyDescent="0.25">
      <c r="A56" s="122" t="s">
        <v>127</v>
      </c>
      <c r="B56" s="230">
        <f>(D56/E$36)</f>
        <v>21.894381887156015</v>
      </c>
      <c r="C56" s="226">
        <f t="shared" ref="C56:C61" si="2">D56/12</f>
        <v>7268.2341663154075</v>
      </c>
      <c r="D56" s="231">
        <f>K29</f>
        <v>87218.80999578489</v>
      </c>
      <c r="E56" s="108">
        <f t="shared" ref="E56:E63" si="3">D56*K$49</f>
        <v>174437.61999156978</v>
      </c>
      <c r="F56" s="109">
        <f t="shared" ref="F56:F63" si="4">E56/E$63</f>
        <v>0.21210257416285155</v>
      </c>
      <c r="G56" s="8" t="s">
        <v>211</v>
      </c>
      <c r="H56" s="8"/>
      <c r="I56" s="8"/>
      <c r="J56" s="8"/>
      <c r="K56" s="110">
        <f>E63/K46</f>
        <v>2.7414034723538565</v>
      </c>
      <c r="L56" s="174" t="s">
        <v>93</v>
      </c>
      <c r="M56" s="177"/>
      <c r="N56" s="177"/>
      <c r="O56" s="177"/>
      <c r="P56" s="177"/>
      <c r="Q56" s="177"/>
      <c r="R56" s="177"/>
      <c r="S56" s="177"/>
      <c r="T56" s="177"/>
    </row>
    <row r="57" spans="1:20" s="3" customFormat="1" ht="15" x14ac:dyDescent="0.25">
      <c r="A57" s="122" t="s">
        <v>146</v>
      </c>
      <c r="B57" s="106">
        <f>(D57/E$36)</f>
        <v>2.0149999999999997</v>
      </c>
      <c r="C57" s="226">
        <f t="shared" si="2"/>
        <v>668.9155199999999</v>
      </c>
      <c r="D57" s="127">
        <f>SUM(K30:K34)</f>
        <v>8026.9862399999984</v>
      </c>
      <c r="E57" s="108">
        <f t="shared" si="3"/>
        <v>16053.972479999997</v>
      </c>
      <c r="F57" s="109">
        <f t="shared" si="4"/>
        <v>1.9520381490598978E-2</v>
      </c>
      <c r="G57" s="171" t="s">
        <v>94</v>
      </c>
      <c r="H57" s="8"/>
      <c r="I57" s="8"/>
      <c r="J57" s="8"/>
      <c r="K57" s="73">
        <f>K49</f>
        <v>2</v>
      </c>
      <c r="L57" s="42"/>
      <c r="M57" s="177"/>
      <c r="N57" s="177"/>
      <c r="O57" s="177"/>
      <c r="P57" s="177"/>
      <c r="Q57" s="177"/>
      <c r="R57" s="177"/>
      <c r="S57" s="177"/>
      <c r="T57" s="177"/>
    </row>
    <row r="58" spans="1:20" s="3" customFormat="1" ht="15" x14ac:dyDescent="0.25">
      <c r="A58" s="123" t="s">
        <v>138</v>
      </c>
      <c r="B58" s="106">
        <f t="shared" si="1"/>
        <v>2.0350000000000001</v>
      </c>
      <c r="C58" s="226">
        <f t="shared" si="2"/>
        <v>675.55488000000003</v>
      </c>
      <c r="D58" s="127">
        <f>K35</f>
        <v>8106.6585599999999</v>
      </c>
      <c r="E58" s="108">
        <f t="shared" si="3"/>
        <v>16213.31712</v>
      </c>
      <c r="F58" s="109">
        <f t="shared" si="4"/>
        <v>1.9714132175369197E-2</v>
      </c>
      <c r="G58" s="8" t="s">
        <v>95</v>
      </c>
      <c r="H58" s="8"/>
      <c r="I58" s="8"/>
      <c r="J58" s="8"/>
      <c r="K58" s="74">
        <f>+K49*Q9*E32</f>
        <v>4.5999999999999996</v>
      </c>
      <c r="L58" s="42"/>
      <c r="M58" s="177"/>
      <c r="N58" s="177"/>
      <c r="O58" s="177"/>
      <c r="P58" s="177"/>
      <c r="Q58" s="177"/>
      <c r="R58" s="177"/>
      <c r="S58" s="177"/>
      <c r="T58" s="177"/>
    </row>
    <row r="59" spans="1:20" s="3" customFormat="1" ht="15" x14ac:dyDescent="0.25">
      <c r="A59" s="122" t="s">
        <v>271</v>
      </c>
      <c r="B59" s="106">
        <f t="shared" si="1"/>
        <v>22.1</v>
      </c>
      <c r="C59" s="226">
        <f t="shared" si="2"/>
        <v>7336.4928</v>
      </c>
      <c r="D59" s="127">
        <f>K39</f>
        <v>88037.9136</v>
      </c>
      <c r="E59" s="108">
        <f t="shared" si="3"/>
        <v>176075.8272</v>
      </c>
      <c r="F59" s="109">
        <f t="shared" si="4"/>
        <v>0.21409450667108562</v>
      </c>
      <c r="G59" s="8"/>
      <c r="H59" s="8"/>
      <c r="I59" s="8"/>
      <c r="J59" s="8"/>
      <c r="K59" s="8"/>
      <c r="L59" s="42"/>
      <c r="M59" s="177"/>
      <c r="N59" s="177"/>
      <c r="O59" s="177"/>
      <c r="P59" s="177"/>
      <c r="Q59" s="177"/>
      <c r="R59" s="177"/>
      <c r="S59" s="177"/>
      <c r="T59" s="177"/>
    </row>
    <row r="60" spans="1:20" s="3" customFormat="1" ht="15" x14ac:dyDescent="0.25">
      <c r="A60" s="122" t="s">
        <v>45</v>
      </c>
      <c r="B60" s="106">
        <f>(D60/E$36)</f>
        <v>8.0518882236927585</v>
      </c>
      <c r="C60" s="226">
        <f t="shared" si="2"/>
        <v>2672.9692298428376</v>
      </c>
      <c r="D60" s="127">
        <f>Q16</f>
        <v>32075.63075811405</v>
      </c>
      <c r="E60" s="108">
        <f t="shared" si="3"/>
        <v>64151.2615162281</v>
      </c>
      <c r="F60" s="109">
        <f t="shared" si="4"/>
        <v>7.8002942851684381E-2</v>
      </c>
      <c r="G60" s="49" t="s">
        <v>129</v>
      </c>
      <c r="H60" s="8"/>
      <c r="I60" s="8"/>
      <c r="J60" s="8"/>
      <c r="K60" s="72">
        <f>E36*K57</f>
        <v>7967.2319999999991</v>
      </c>
      <c r="L60" s="10" t="s">
        <v>300</v>
      </c>
      <c r="M60" s="177"/>
      <c r="N60" s="177"/>
      <c r="O60" s="177"/>
      <c r="P60" s="177"/>
      <c r="Q60" s="177"/>
      <c r="R60" s="177"/>
      <c r="S60" s="177"/>
      <c r="T60" s="177"/>
    </row>
    <row r="61" spans="1:20" ht="15" x14ac:dyDescent="0.25">
      <c r="A61" s="122" t="s">
        <v>71</v>
      </c>
      <c r="B61" s="106">
        <f t="shared" si="1"/>
        <v>0</v>
      </c>
      <c r="C61" s="226">
        <f t="shared" si="2"/>
        <v>0</v>
      </c>
      <c r="D61" s="127">
        <f>K43</f>
        <v>0</v>
      </c>
      <c r="E61" s="108">
        <f t="shared" si="3"/>
        <v>0</v>
      </c>
      <c r="F61" s="109">
        <f t="shared" si="4"/>
        <v>0</v>
      </c>
      <c r="G61" s="8" t="s">
        <v>96</v>
      </c>
      <c r="H61" s="8"/>
      <c r="I61" s="8"/>
      <c r="J61" s="8"/>
      <c r="K61" s="73">
        <f>E16*K57</f>
        <v>700000</v>
      </c>
      <c r="L61" s="42" t="s">
        <v>37</v>
      </c>
    </row>
    <row r="62" spans="1:20" ht="15.75" customHeight="1" x14ac:dyDescent="0.25">
      <c r="A62" s="225" t="s">
        <v>73</v>
      </c>
      <c r="B62" s="233">
        <f>(B55+B51)*0.1</f>
        <v>8.4611017723077033</v>
      </c>
      <c r="C62" s="149">
        <f>(C55+C51)*0.1</f>
        <v>2808.815033149443</v>
      </c>
      <c r="D62" s="234">
        <f>(D55+D51)*0.1</f>
        <v>33705.780397793314</v>
      </c>
      <c r="E62" s="249">
        <f t="shared" si="3"/>
        <v>67411.560795586629</v>
      </c>
      <c r="F62" s="235">
        <f t="shared" si="4"/>
        <v>8.1967213114754092E-2</v>
      </c>
      <c r="G62" s="8" t="s">
        <v>97</v>
      </c>
      <c r="H62" s="8"/>
      <c r="I62" s="8"/>
      <c r="J62" s="8"/>
      <c r="K62" s="73">
        <f>E19*K57</f>
        <v>70000</v>
      </c>
      <c r="L62" s="42"/>
    </row>
    <row r="63" spans="1:20" ht="19.5" thickBot="1" x14ac:dyDescent="0.35">
      <c r="A63" s="412" t="s">
        <v>3</v>
      </c>
      <c r="B63" s="413">
        <f>(D63/E$36)</f>
        <v>103.22544162215397</v>
      </c>
      <c r="C63" s="414">
        <f>D63/12</f>
        <v>34267.543404423202</v>
      </c>
      <c r="D63" s="415">
        <f>D55+D51+D50+D62</f>
        <v>411210.52085307846</v>
      </c>
      <c r="E63" s="416">
        <f t="shared" si="3"/>
        <v>822421.04170615692</v>
      </c>
      <c r="F63" s="417">
        <f t="shared" si="4"/>
        <v>1</v>
      </c>
      <c r="G63" s="49" t="s">
        <v>128</v>
      </c>
      <c r="H63" s="8"/>
      <c r="I63" s="8"/>
      <c r="J63" s="8"/>
      <c r="K63" s="74">
        <f>E63</f>
        <v>822421.04170615692</v>
      </c>
      <c r="L63" s="42"/>
    </row>
    <row r="64" spans="1:20" ht="15" x14ac:dyDescent="0.25">
      <c r="G64" s="8"/>
      <c r="H64" s="8"/>
      <c r="I64" s="8"/>
      <c r="J64" s="8"/>
      <c r="K64" s="8"/>
      <c r="L64" s="42"/>
    </row>
    <row r="65" spans="5:12" ht="15" x14ac:dyDescent="0.25">
      <c r="G65" s="8"/>
      <c r="H65" s="8"/>
      <c r="I65" s="8"/>
      <c r="J65" s="8"/>
      <c r="K65" s="8"/>
      <c r="L65" s="42"/>
    </row>
    <row r="66" spans="5:12" ht="15" x14ac:dyDescent="0.25">
      <c r="E66" s="394"/>
      <c r="G66" s="27"/>
      <c r="H66" s="27"/>
      <c r="I66" s="27"/>
      <c r="J66" s="27"/>
      <c r="K66" s="27"/>
      <c r="L66" s="52"/>
    </row>
    <row r="67" spans="5:12" x14ac:dyDescent="0.2">
      <c r="E67" s="394"/>
    </row>
    <row r="70" spans="5:12" x14ac:dyDescent="0.2">
      <c r="E70" s="185"/>
    </row>
    <row r="72" spans="5:12" x14ac:dyDescent="0.2">
      <c r="G72" s="394"/>
    </row>
    <row r="73" spans="5:12" x14ac:dyDescent="0.2">
      <c r="G73" s="394"/>
    </row>
  </sheetData>
  <mergeCells count="1">
    <mergeCell ref="B48:D48"/>
  </mergeCells>
  <phoneticPr fontId="0" type="noConversion"/>
  <pageMargins left="0.75" right="0.75" top="1" bottom="1" header="0.5" footer="0.5"/>
  <pageSetup paperSize="9" scale="48" orientation="portrait" horizontalDpi="4294967292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4" tint="0.39997558519241921"/>
    <pageSetUpPr fitToPage="1"/>
  </sheetPr>
  <dimension ref="A1:R75"/>
  <sheetViews>
    <sheetView showGridLines="0" topLeftCell="A49" zoomScale="80" zoomScaleNormal="80" workbookViewId="0">
      <selection activeCell="Q17" sqref="Q17"/>
    </sheetView>
  </sheetViews>
  <sheetFormatPr baseColWidth="10" defaultColWidth="9.140625" defaultRowHeight="15" x14ac:dyDescent="0.25"/>
  <cols>
    <col min="1" max="1" width="27.85546875" style="3" customWidth="1"/>
    <col min="2" max="2" width="10.85546875" style="3" bestFit="1" customWidth="1"/>
    <col min="3" max="3" width="12" style="3" customWidth="1"/>
    <col min="4" max="4" width="11.42578125" style="3" customWidth="1"/>
    <col min="5" max="5" width="13.7109375" style="3" customWidth="1"/>
    <col min="6" max="6" width="11.28515625" style="3" customWidth="1"/>
    <col min="7" max="7" width="9.28515625" style="3" customWidth="1"/>
    <col min="8" max="9" width="9.140625" style="3"/>
    <col min="10" max="10" width="9.7109375" style="3" customWidth="1"/>
    <col min="11" max="11" width="13.85546875" style="3" bestFit="1" customWidth="1"/>
    <col min="12" max="12" width="13.42578125" style="3" customWidth="1"/>
    <col min="13" max="13" width="9.140625" style="3"/>
    <col min="14" max="14" width="13" style="3" customWidth="1"/>
    <col min="15" max="15" width="12.28515625" style="3" customWidth="1"/>
    <col min="16" max="16" width="14.28515625" style="3" customWidth="1"/>
    <col min="17" max="17" width="10.42578125" style="3" customWidth="1"/>
    <col min="18" max="16384" width="9.140625" style="3"/>
  </cols>
  <sheetData>
    <row r="1" spans="1:18" s="184" customFormat="1" ht="15.75" x14ac:dyDescent="0.25">
      <c r="A1" s="448" t="s">
        <v>25</v>
      </c>
      <c r="B1" s="449" t="str">
        <f>CONCATENATE(E7," con ",F7)</f>
        <v>Hv1 con C2</v>
      </c>
      <c r="C1" s="449"/>
      <c r="D1" s="450"/>
      <c r="E1" s="450"/>
      <c r="F1" s="450"/>
      <c r="G1" s="402"/>
    </row>
    <row r="2" spans="1:18" s="184" customFormat="1" ht="15.75" x14ac:dyDescent="0.25">
      <c r="A2" s="448" t="s">
        <v>99</v>
      </c>
      <c r="B2" s="449" t="s">
        <v>13</v>
      </c>
      <c r="C2" s="449"/>
      <c r="D2" s="450"/>
      <c r="E2" s="450"/>
      <c r="F2" s="450"/>
      <c r="G2" s="402"/>
    </row>
    <row r="3" spans="1:18" s="184" customFormat="1" ht="15.75" x14ac:dyDescent="0.25">
      <c r="A3" s="448" t="s">
        <v>26</v>
      </c>
      <c r="B3" s="449">
        <f>'Matriz de flota'!B3</f>
        <v>0</v>
      </c>
      <c r="C3" s="449"/>
      <c r="D3" s="450"/>
      <c r="E3" s="450"/>
      <c r="F3" s="450"/>
      <c r="G3" s="402"/>
    </row>
    <row r="4" spans="1:18" s="184" customFormat="1" ht="15.75" x14ac:dyDescent="0.25">
      <c r="A4" s="448" t="s">
        <v>27</v>
      </c>
      <c r="B4" s="449">
        <f>'Matriz de flota'!B4</f>
        <v>0</v>
      </c>
      <c r="C4" s="449"/>
      <c r="D4" s="450"/>
      <c r="E4" s="450"/>
      <c r="F4" s="450"/>
      <c r="G4" s="402"/>
    </row>
    <row r="5" spans="1:18" s="184" customFormat="1" ht="15.75" x14ac:dyDescent="0.25">
      <c r="A5" s="448" t="s">
        <v>11</v>
      </c>
      <c r="B5" s="449">
        <f>'Matriz de flota'!B5</f>
        <v>0</v>
      </c>
      <c r="C5" s="449"/>
      <c r="D5" s="449"/>
      <c r="E5" s="449"/>
      <c r="F5" s="449"/>
      <c r="G5" s="403"/>
      <c r="H5" s="403"/>
      <c r="I5" s="403"/>
      <c r="J5" s="403"/>
      <c r="K5" s="403"/>
      <c r="L5" s="403"/>
      <c r="M5" s="403"/>
      <c r="N5" s="403"/>
      <c r="O5" s="403"/>
    </row>
    <row r="6" spans="1:18" ht="15.95" customHeight="1" x14ac:dyDescent="0.25">
      <c r="G6" s="27"/>
    </row>
    <row r="7" spans="1:18" ht="31.5" customHeight="1" x14ac:dyDescent="0.25">
      <c r="A7" s="132" t="s">
        <v>28</v>
      </c>
      <c r="B7" s="5"/>
      <c r="C7" s="5"/>
      <c r="D7" s="5"/>
      <c r="E7" s="59" t="s">
        <v>286</v>
      </c>
      <c r="F7" s="59" t="s">
        <v>291</v>
      </c>
      <c r="G7" s="6"/>
      <c r="H7" s="132" t="s">
        <v>51</v>
      </c>
      <c r="I7" s="5"/>
      <c r="J7" s="5"/>
      <c r="K7" s="5"/>
      <c r="L7" s="5"/>
      <c r="M7" s="6"/>
      <c r="N7" s="134" t="s">
        <v>67</v>
      </c>
      <c r="O7" s="5"/>
      <c r="P7" s="5"/>
      <c r="Q7" s="5"/>
      <c r="R7" s="6"/>
    </row>
    <row r="8" spans="1:18" ht="15.95" customHeight="1" x14ac:dyDescent="0.25">
      <c r="A8" s="7" t="s">
        <v>29</v>
      </c>
      <c r="B8" s="8"/>
      <c r="C8" s="8"/>
      <c r="D8" s="8"/>
      <c r="E8" s="9">
        <v>400000</v>
      </c>
      <c r="F8" s="9">
        <v>100000</v>
      </c>
      <c r="G8" s="10" t="s">
        <v>37</v>
      </c>
      <c r="H8" s="7" t="s">
        <v>100</v>
      </c>
      <c r="I8" s="8"/>
      <c r="J8" s="8"/>
      <c r="K8" s="8"/>
      <c r="L8" s="11">
        <v>21</v>
      </c>
      <c r="M8" s="10" t="s">
        <v>301</v>
      </c>
      <c r="N8" s="8" t="s">
        <v>269</v>
      </c>
      <c r="O8" s="8"/>
      <c r="P8" s="8"/>
      <c r="Q8" s="438">
        <f>40000/dolar</f>
        <v>1204.3114349370749</v>
      </c>
      <c r="R8" s="10" t="s">
        <v>58</v>
      </c>
    </row>
    <row r="9" spans="1:18" ht="15.95" customHeight="1" x14ac:dyDescent="0.25">
      <c r="A9" s="7"/>
      <c r="B9" s="8"/>
      <c r="C9" s="8"/>
      <c r="D9" s="8"/>
      <c r="E9" s="72"/>
      <c r="F9" s="72"/>
      <c r="G9" s="10"/>
      <c r="H9" s="7" t="s">
        <v>52</v>
      </c>
      <c r="I9" s="8"/>
      <c r="J9" s="8"/>
      <c r="K9" s="8"/>
      <c r="L9" s="111">
        <f>Listas!F3/dolar</f>
        <v>1.2163545492864454</v>
      </c>
      <c r="M9" s="10" t="s">
        <v>50</v>
      </c>
      <c r="N9" s="8" t="s">
        <v>68</v>
      </c>
      <c r="O9" s="8"/>
      <c r="P9" s="8"/>
      <c r="Q9" s="13">
        <v>1.1499999999999999</v>
      </c>
      <c r="R9" s="10"/>
    </row>
    <row r="10" spans="1:18" ht="15.95" customHeight="1" x14ac:dyDescent="0.25">
      <c r="A10" s="7" t="s">
        <v>30</v>
      </c>
      <c r="B10" s="60" t="s">
        <v>31</v>
      </c>
      <c r="C10" s="61"/>
      <c r="D10" s="62"/>
      <c r="E10" s="63">
        <v>0</v>
      </c>
      <c r="F10" s="63">
        <v>0</v>
      </c>
      <c r="G10" s="10" t="s">
        <v>37</v>
      </c>
      <c r="H10" s="7" t="s">
        <v>254</v>
      </c>
      <c r="I10" s="8"/>
      <c r="J10" s="8"/>
      <c r="K10" s="8"/>
      <c r="L10" s="131">
        <v>4</v>
      </c>
      <c r="M10" s="10" t="s">
        <v>50</v>
      </c>
      <c r="N10" s="8" t="s">
        <v>253</v>
      </c>
      <c r="O10" s="8"/>
      <c r="P10" s="8"/>
      <c r="Q10" s="15">
        <v>0.93</v>
      </c>
      <c r="R10" s="10"/>
    </row>
    <row r="11" spans="1:18" ht="15.95" customHeight="1" x14ac:dyDescent="0.25">
      <c r="A11" s="7"/>
      <c r="B11" s="64" t="s">
        <v>32</v>
      </c>
      <c r="C11" s="65"/>
      <c r="D11" s="66"/>
      <c r="E11" s="67">
        <v>0</v>
      </c>
      <c r="F11" s="67">
        <v>0</v>
      </c>
      <c r="G11" s="10" t="s">
        <v>37</v>
      </c>
      <c r="H11" s="7" t="s">
        <v>101</v>
      </c>
      <c r="I11" s="8"/>
      <c r="J11" s="8"/>
      <c r="K11" s="8"/>
      <c r="L11" s="131">
        <v>3</v>
      </c>
      <c r="M11" s="10" t="s">
        <v>50</v>
      </c>
      <c r="N11" s="8" t="s">
        <v>69</v>
      </c>
      <c r="O11" s="8"/>
      <c r="P11" s="8"/>
      <c r="Q11" s="13">
        <v>0</v>
      </c>
      <c r="R11" s="10" t="s">
        <v>58</v>
      </c>
    </row>
    <row r="12" spans="1:18" ht="15.95" customHeight="1" x14ac:dyDescent="0.25">
      <c r="A12" s="7"/>
      <c r="B12" s="64" t="s">
        <v>32</v>
      </c>
      <c r="C12" s="65"/>
      <c r="D12" s="66"/>
      <c r="E12" s="67">
        <v>0</v>
      </c>
      <c r="F12" s="67">
        <v>0</v>
      </c>
      <c r="G12" s="10" t="s">
        <v>37</v>
      </c>
      <c r="H12" s="7" t="s">
        <v>255</v>
      </c>
      <c r="I12" s="8"/>
      <c r="J12" s="8"/>
      <c r="K12" s="8"/>
      <c r="L12" s="131">
        <v>1.3</v>
      </c>
      <c r="M12" s="10" t="s">
        <v>50</v>
      </c>
      <c r="N12" s="8" t="s">
        <v>270</v>
      </c>
      <c r="O12" s="8"/>
      <c r="P12" s="8"/>
      <c r="Q12" s="14"/>
      <c r="R12" s="46"/>
    </row>
    <row r="13" spans="1:18" ht="15.95" customHeight="1" x14ac:dyDescent="0.25">
      <c r="A13" s="7"/>
      <c r="B13" s="64" t="s">
        <v>32</v>
      </c>
      <c r="C13" s="65"/>
      <c r="D13" s="66"/>
      <c r="E13" s="67">
        <v>0</v>
      </c>
      <c r="F13" s="67">
        <v>0</v>
      </c>
      <c r="G13" s="10" t="s">
        <v>37</v>
      </c>
      <c r="H13" s="7" t="s">
        <v>256</v>
      </c>
      <c r="I13" s="8"/>
      <c r="J13" s="8"/>
      <c r="K13" s="8"/>
      <c r="L13" s="131">
        <v>8</v>
      </c>
      <c r="M13" s="10" t="s">
        <v>257</v>
      </c>
      <c r="N13" s="8" t="s">
        <v>247</v>
      </c>
      <c r="O13" s="8"/>
      <c r="P13" s="8"/>
      <c r="Q13" s="73">
        <f>(Q8*Q9)*(1+Q10)*12</f>
        <v>32075.63075811405</v>
      </c>
      <c r="R13" s="437" t="s">
        <v>62</v>
      </c>
    </row>
    <row r="14" spans="1:18" ht="15.95" customHeight="1" x14ac:dyDescent="0.25">
      <c r="A14" s="7"/>
      <c r="B14" s="68" t="s">
        <v>32</v>
      </c>
      <c r="C14" s="69"/>
      <c r="D14" s="70"/>
      <c r="E14" s="71">
        <v>0</v>
      </c>
      <c r="F14" s="71">
        <v>0</v>
      </c>
      <c r="G14" s="10" t="s">
        <v>37</v>
      </c>
      <c r="H14" s="7" t="s">
        <v>275</v>
      </c>
      <c r="I14" s="8"/>
      <c r="J14" s="8"/>
      <c r="K14" s="8"/>
      <c r="L14" s="131">
        <v>4</v>
      </c>
      <c r="M14" s="10" t="s">
        <v>50</v>
      </c>
      <c r="N14" s="8" t="s">
        <v>109</v>
      </c>
      <c r="O14" s="8"/>
      <c r="P14" s="8" t="s">
        <v>0</v>
      </c>
      <c r="Q14" s="175">
        <v>0</v>
      </c>
      <c r="R14" s="437"/>
    </row>
    <row r="15" spans="1:18" ht="15.95" customHeight="1" x14ac:dyDescent="0.25">
      <c r="A15" s="7" t="s">
        <v>90</v>
      </c>
      <c r="B15" s="49"/>
      <c r="C15" s="49"/>
      <c r="D15" s="49"/>
      <c r="E15" s="175">
        <v>1</v>
      </c>
      <c r="F15" s="430">
        <f>E38/F38</f>
        <v>1.25</v>
      </c>
      <c r="G15" s="10"/>
      <c r="H15" s="7" t="s">
        <v>258</v>
      </c>
      <c r="I15" s="8"/>
      <c r="J15" s="8"/>
      <c r="K15" s="8"/>
      <c r="L15" s="433">
        <v>3</v>
      </c>
      <c r="M15" s="10" t="s">
        <v>50</v>
      </c>
      <c r="N15" s="8" t="s">
        <v>111</v>
      </c>
      <c r="O15" s="8"/>
      <c r="P15" s="8"/>
      <c r="Q15" s="73">
        <f>Q11*12*(1+Q12)*Q9</f>
        <v>0</v>
      </c>
      <c r="R15" s="437" t="s">
        <v>62</v>
      </c>
    </row>
    <row r="16" spans="1:18" ht="15.95" customHeight="1" x14ac:dyDescent="0.25">
      <c r="A16" s="7" t="s">
        <v>102</v>
      </c>
      <c r="B16" s="8"/>
      <c r="C16" s="8"/>
      <c r="D16" s="8"/>
      <c r="E16" s="72">
        <f>SUM(E10:E14)</f>
        <v>0</v>
      </c>
      <c r="F16" s="72">
        <f>SUM(F10:F14)</f>
        <v>0</v>
      </c>
      <c r="G16" s="10" t="s">
        <v>37</v>
      </c>
      <c r="I16" s="8"/>
      <c r="J16" s="8"/>
      <c r="K16" s="8"/>
      <c r="L16" s="8"/>
      <c r="M16" s="10"/>
      <c r="N16" s="8" t="s">
        <v>112</v>
      </c>
      <c r="O16" s="8"/>
      <c r="P16" s="8"/>
      <c r="Q16" s="273">
        <f>SUM(Q13:Q15)</f>
        <v>32075.63075811405</v>
      </c>
      <c r="R16" s="437" t="s">
        <v>62</v>
      </c>
    </row>
    <row r="17" spans="1:18" ht="15.95" customHeight="1" x14ac:dyDescent="0.25">
      <c r="A17" s="7" t="s">
        <v>33</v>
      </c>
      <c r="B17" s="8"/>
      <c r="C17" s="8"/>
      <c r="D17" s="8"/>
      <c r="E17" s="73">
        <f>E8*E15-E9+E16</f>
        <v>400000</v>
      </c>
      <c r="F17" s="73">
        <f>F8*F15-F9+F16</f>
        <v>125000</v>
      </c>
      <c r="G17" s="10" t="s">
        <v>37</v>
      </c>
      <c r="H17" s="135" t="s">
        <v>53</v>
      </c>
      <c r="I17" s="135"/>
      <c r="J17" s="153" t="s">
        <v>90</v>
      </c>
      <c r="K17" s="153" t="s">
        <v>91</v>
      </c>
      <c r="L17" s="153" t="s">
        <v>302</v>
      </c>
      <c r="M17" s="10"/>
      <c r="N17" s="8" t="s">
        <v>70</v>
      </c>
      <c r="O17" s="8"/>
      <c r="P17" s="8"/>
      <c r="Q17" s="124">
        <f>Q16/E37</f>
        <v>7.8988452418523574</v>
      </c>
      <c r="R17" s="10" t="s">
        <v>298</v>
      </c>
    </row>
    <row r="18" spans="1:18" ht="15.95" customHeight="1" x14ac:dyDescent="0.25">
      <c r="A18" s="26" t="s">
        <v>103</v>
      </c>
      <c r="B18" s="27"/>
      <c r="C18" s="27"/>
      <c r="D18" s="27"/>
      <c r="E18" s="74">
        <f>+E23*12</f>
        <v>97553.579503780755</v>
      </c>
      <c r="F18" s="74">
        <f>+F23*12</f>
        <v>28735.493594931486</v>
      </c>
      <c r="G18" s="10" t="s">
        <v>37</v>
      </c>
      <c r="H18" s="16" t="s">
        <v>54</v>
      </c>
      <c r="I18" s="17"/>
      <c r="J18" s="18">
        <v>1</v>
      </c>
      <c r="K18" s="19">
        <v>95</v>
      </c>
      <c r="L18" s="20">
        <v>100</v>
      </c>
      <c r="M18" s="10"/>
      <c r="N18" s="8"/>
      <c r="O18" s="8"/>
      <c r="P18" s="8"/>
      <c r="Q18" s="44"/>
      <c r="R18" s="10"/>
    </row>
    <row r="19" spans="1:18" ht="15.95" customHeight="1" x14ac:dyDescent="0.25">
      <c r="A19" s="132" t="s">
        <v>104</v>
      </c>
      <c r="B19" s="5"/>
      <c r="C19" s="5"/>
      <c r="D19" s="8"/>
      <c r="E19" s="29"/>
      <c r="F19" s="29"/>
      <c r="G19" s="10"/>
      <c r="H19" s="21" t="s">
        <v>55</v>
      </c>
      <c r="I19" s="22"/>
      <c r="J19" s="23">
        <v>1</v>
      </c>
      <c r="K19" s="24">
        <v>22</v>
      </c>
      <c r="L19" s="25">
        <v>25</v>
      </c>
      <c r="M19" s="10"/>
      <c r="N19" s="27"/>
      <c r="O19" s="27"/>
      <c r="P19" s="27"/>
      <c r="Q19" s="45"/>
      <c r="R19" s="28"/>
    </row>
    <row r="20" spans="1:18" ht="15.95" customHeight="1" x14ac:dyDescent="0.25">
      <c r="A20" s="7" t="s">
        <v>34</v>
      </c>
      <c r="B20" s="8"/>
      <c r="C20" s="8"/>
      <c r="D20" s="36">
        <v>0.2</v>
      </c>
      <c r="E20" s="95">
        <f>D20*E17</f>
        <v>80000</v>
      </c>
      <c r="F20" s="95">
        <v>0</v>
      </c>
      <c r="G20" s="10" t="s">
        <v>37</v>
      </c>
      <c r="H20" s="21" t="s">
        <v>56</v>
      </c>
      <c r="I20" s="22"/>
      <c r="J20" s="23">
        <v>8</v>
      </c>
      <c r="K20" s="24">
        <v>4000</v>
      </c>
      <c r="L20" s="25">
        <v>15000</v>
      </c>
      <c r="M20" s="10"/>
      <c r="N20" s="154" t="s">
        <v>89</v>
      </c>
      <c r="O20" s="5"/>
      <c r="P20" s="5"/>
      <c r="Q20" s="5"/>
      <c r="R20" s="30"/>
    </row>
    <row r="21" spans="1:18" ht="15.95" customHeight="1" x14ac:dyDescent="0.25">
      <c r="A21" s="7" t="s">
        <v>105</v>
      </c>
      <c r="B21" s="8"/>
      <c r="C21" s="8"/>
      <c r="D21" s="8" t="s">
        <v>0</v>
      </c>
      <c r="E21" s="38">
        <v>7.0000000000000007E-2</v>
      </c>
      <c r="F21" s="38">
        <v>7.0000000000000007E-2</v>
      </c>
      <c r="G21" s="10" t="s">
        <v>0</v>
      </c>
      <c r="H21" s="21" t="s">
        <v>32</v>
      </c>
      <c r="I21" s="22"/>
      <c r="J21" s="23">
        <v>0</v>
      </c>
      <c r="K21" s="24">
        <v>0</v>
      </c>
      <c r="L21" s="25">
        <v>0</v>
      </c>
      <c r="M21" s="10"/>
      <c r="N21" s="144"/>
      <c r="O21" s="145" t="s">
        <v>80</v>
      </c>
      <c r="P21" s="145" t="s">
        <v>209</v>
      </c>
      <c r="Q21" s="146" t="s">
        <v>208</v>
      </c>
      <c r="R21" s="42"/>
    </row>
    <row r="22" spans="1:18" ht="15.95" customHeight="1" x14ac:dyDescent="0.25">
      <c r="A22" s="7" t="s">
        <v>35</v>
      </c>
      <c r="B22" s="39"/>
      <c r="C22" s="8"/>
      <c r="D22" s="40"/>
      <c r="E22" s="41">
        <v>48</v>
      </c>
      <c r="F22" s="41">
        <v>48</v>
      </c>
      <c r="G22" s="10" t="s">
        <v>36</v>
      </c>
      <c r="H22" s="31" t="s">
        <v>32</v>
      </c>
      <c r="I22" s="32"/>
      <c r="J22" s="33">
        <v>0</v>
      </c>
      <c r="K22" s="34">
        <v>0</v>
      </c>
      <c r="L22" s="35">
        <v>0</v>
      </c>
      <c r="M22" s="42"/>
      <c r="N22" s="147" t="s">
        <v>10</v>
      </c>
      <c r="O22" s="147" t="s">
        <v>81</v>
      </c>
      <c r="P22" s="148" t="s">
        <v>299</v>
      </c>
      <c r="Q22" s="142" t="s">
        <v>82</v>
      </c>
      <c r="R22" s="42"/>
    </row>
    <row r="23" spans="1:18" ht="15.95" customHeight="1" x14ac:dyDescent="0.25">
      <c r="A23" s="7" t="s">
        <v>72</v>
      </c>
      <c r="C23" s="8"/>
      <c r="D23" s="8"/>
      <c r="E23" s="74">
        <f>PMT(E21/12,E22,-E17,E20,0)</f>
        <v>8129.4649586483965</v>
      </c>
      <c r="F23" s="74">
        <f>PMT(F21/12,F22,-F8,F20,0)</f>
        <v>2394.6244662442905</v>
      </c>
      <c r="G23" s="10" t="s">
        <v>37</v>
      </c>
      <c r="H23" s="51" t="s">
        <v>106</v>
      </c>
      <c r="I23" s="5"/>
      <c r="J23" s="227"/>
      <c r="K23" s="227"/>
      <c r="L23" s="384">
        <f>L8*L9</f>
        <v>25.543445535015351</v>
      </c>
      <c r="M23" s="10" t="s">
        <v>298</v>
      </c>
      <c r="N23" s="136" t="s">
        <v>12</v>
      </c>
      <c r="O23" s="138">
        <v>0.3</v>
      </c>
      <c r="P23" s="138">
        <v>29</v>
      </c>
      <c r="Q23" s="422">
        <v>0.35</v>
      </c>
      <c r="R23" s="42"/>
    </row>
    <row r="24" spans="1:18" ht="15.95" customHeight="1" x14ac:dyDescent="0.25">
      <c r="H24" s="7" t="s">
        <v>259</v>
      </c>
      <c r="I24" s="8"/>
      <c r="J24" s="8"/>
      <c r="K24" s="8"/>
      <c r="L24" s="383">
        <f>0.085*L10</f>
        <v>0.34</v>
      </c>
      <c r="M24" s="10" t="s">
        <v>298</v>
      </c>
      <c r="N24" s="136" t="s">
        <v>120</v>
      </c>
      <c r="O24" s="138">
        <v>0.1</v>
      </c>
      <c r="P24" s="138">
        <v>12</v>
      </c>
      <c r="Q24" s="422"/>
      <c r="R24" s="42"/>
    </row>
    <row r="25" spans="1:18" ht="15.95" customHeight="1" x14ac:dyDescent="0.25">
      <c r="A25" s="132" t="s">
        <v>107</v>
      </c>
      <c r="B25" s="5"/>
      <c r="C25" s="5"/>
      <c r="D25" s="5"/>
      <c r="E25" s="5"/>
      <c r="F25" s="5"/>
      <c r="G25" s="30"/>
      <c r="H25" s="7" t="s">
        <v>108</v>
      </c>
      <c r="I25" s="8"/>
      <c r="J25" s="8"/>
      <c r="K25" s="8"/>
      <c r="L25" s="383">
        <f>L11*0.08</f>
        <v>0.24</v>
      </c>
      <c r="M25" s="10" t="s">
        <v>298</v>
      </c>
      <c r="N25" s="136" t="s">
        <v>14</v>
      </c>
      <c r="O25" s="138">
        <v>0.25</v>
      </c>
      <c r="P25" s="138">
        <v>20</v>
      </c>
      <c r="Q25" s="422">
        <v>0.55000000000000004</v>
      </c>
      <c r="R25" s="42"/>
    </row>
    <row r="26" spans="1:18" ht="15.95" customHeight="1" x14ac:dyDescent="0.25">
      <c r="A26" s="7" t="s">
        <v>110</v>
      </c>
      <c r="B26" s="8"/>
      <c r="C26" s="8"/>
      <c r="D26" s="8"/>
      <c r="E26" s="96">
        <v>365</v>
      </c>
      <c r="F26" s="8"/>
      <c r="G26" s="42"/>
      <c r="H26" s="7" t="s">
        <v>276</v>
      </c>
      <c r="I26" s="8"/>
      <c r="J26" s="8"/>
      <c r="K26" s="8"/>
      <c r="L26" s="432">
        <f>1*L12</f>
        <v>1.3</v>
      </c>
      <c r="M26" s="10" t="s">
        <v>298</v>
      </c>
      <c r="N26" s="136" t="s">
        <v>83</v>
      </c>
      <c r="O26" s="138">
        <v>0.2</v>
      </c>
      <c r="P26" s="138">
        <v>16</v>
      </c>
      <c r="Q26" s="422">
        <v>0.1</v>
      </c>
      <c r="R26" s="42"/>
    </row>
    <row r="27" spans="1:18" ht="15.95" customHeight="1" x14ac:dyDescent="0.25">
      <c r="A27" s="7" t="s">
        <v>38</v>
      </c>
      <c r="B27" s="8"/>
      <c r="C27" s="8"/>
      <c r="D27" s="8"/>
      <c r="E27" s="43">
        <v>52</v>
      </c>
      <c r="F27" s="8"/>
      <c r="G27" s="42"/>
      <c r="H27" s="7" t="s">
        <v>260</v>
      </c>
      <c r="I27" s="8"/>
      <c r="J27" s="8"/>
      <c r="K27" s="8"/>
      <c r="L27" s="432">
        <f>0.06*L13</f>
        <v>0.48</v>
      </c>
      <c r="M27" s="10" t="s">
        <v>298</v>
      </c>
      <c r="N27" s="136"/>
      <c r="O27" s="138"/>
      <c r="P27" s="138"/>
      <c r="Q27" s="422"/>
      <c r="R27" s="42"/>
    </row>
    <row r="28" spans="1:18" ht="15.95" customHeight="1" x14ac:dyDescent="0.25">
      <c r="A28" s="7" t="s">
        <v>113</v>
      </c>
      <c r="B28" s="8"/>
      <c r="C28" s="8"/>
      <c r="D28" s="8"/>
      <c r="E28" s="43">
        <v>10</v>
      </c>
      <c r="F28" s="8"/>
      <c r="G28" s="42"/>
      <c r="H28" s="7" t="s">
        <v>277</v>
      </c>
      <c r="I28" s="8"/>
      <c r="J28" s="8"/>
      <c r="K28" s="8"/>
      <c r="L28" s="432">
        <f>0.1*L14</f>
        <v>0.4</v>
      </c>
      <c r="M28" s="10" t="s">
        <v>298</v>
      </c>
      <c r="N28" s="136"/>
      <c r="O28" s="138"/>
      <c r="P28" s="138"/>
      <c r="Q28" s="422"/>
      <c r="R28" s="42"/>
    </row>
    <row r="29" spans="1:18" ht="15.95" customHeight="1" x14ac:dyDescent="0.25">
      <c r="A29" s="7" t="s">
        <v>114</v>
      </c>
      <c r="B29" s="8"/>
      <c r="C29" s="8"/>
      <c r="D29" s="8"/>
      <c r="E29" s="43">
        <v>10</v>
      </c>
      <c r="F29" s="8"/>
      <c r="G29" s="42"/>
      <c r="H29" s="7" t="s">
        <v>261</v>
      </c>
      <c r="I29" s="8"/>
      <c r="J29" s="8"/>
      <c r="K29" s="8"/>
      <c r="L29" s="432">
        <f>0.025*L15</f>
        <v>7.5000000000000011E-2</v>
      </c>
      <c r="M29" s="10" t="s">
        <v>298</v>
      </c>
      <c r="N29" s="137"/>
      <c r="O29" s="140"/>
      <c r="P29" s="140"/>
      <c r="Q29" s="423"/>
      <c r="R29" s="42"/>
    </row>
    <row r="30" spans="1:18" ht="15.95" customHeight="1" x14ac:dyDescent="0.25">
      <c r="A30" s="7" t="s">
        <v>115</v>
      </c>
      <c r="B30" s="8"/>
      <c r="C30" s="8"/>
      <c r="D30" s="8"/>
      <c r="E30" s="41">
        <v>11</v>
      </c>
      <c r="F30" s="8"/>
      <c r="G30" s="42"/>
      <c r="H30" s="7" t="s">
        <v>57</v>
      </c>
      <c r="I30" s="8"/>
      <c r="J30" s="8"/>
      <c r="K30" s="8"/>
      <c r="L30" s="383">
        <f>IF(L18=0,0,(J18*K18/L18))+IF(L19=0,0,(J19*K19/L19))+IF(L20=0,0,(J20*K20/L20))+IF(L21=0,0,(J21*K21/L21))+IF(L22=0,0,(J22*K22/L22))</f>
        <v>3.9633333333333334</v>
      </c>
      <c r="M30" s="10" t="s">
        <v>298</v>
      </c>
      <c r="N30" s="51" t="s">
        <v>78</v>
      </c>
      <c r="O30" s="5"/>
      <c r="P30" s="5"/>
      <c r="Q30" s="141">
        <f>SUMPRODUCT(P23:P29,Q23:Q29)</f>
        <v>22.75</v>
      </c>
      <c r="R30" s="10" t="s">
        <v>299</v>
      </c>
    </row>
    <row r="31" spans="1:18" ht="15.95" customHeight="1" x14ac:dyDescent="0.25">
      <c r="A31" s="7" t="s">
        <v>117</v>
      </c>
      <c r="B31" s="8"/>
      <c r="C31" s="8"/>
      <c r="D31" s="8"/>
      <c r="E31" s="97">
        <f>E26-E27-E28-E29-E30</f>
        <v>282</v>
      </c>
      <c r="F31" s="8"/>
      <c r="G31" s="46" t="s">
        <v>118</v>
      </c>
      <c r="H31" s="434" t="s">
        <v>272</v>
      </c>
      <c r="I31" s="5"/>
      <c r="J31" s="5"/>
      <c r="K31" s="5"/>
      <c r="L31" s="389">
        <f>L23*E$37</f>
        <v>103726.82362859033</v>
      </c>
      <c r="M31" s="435" t="s">
        <v>62</v>
      </c>
      <c r="N31" s="7"/>
      <c r="O31" s="8"/>
      <c r="P31" s="8"/>
      <c r="Q31" s="112">
        <f>Q30*E36</f>
        <v>327.59999999999997</v>
      </c>
      <c r="R31" s="47" t="s">
        <v>125</v>
      </c>
    </row>
    <row r="32" spans="1:18" ht="15.95" customHeight="1" x14ac:dyDescent="0.25">
      <c r="A32" s="7" t="s">
        <v>119</v>
      </c>
      <c r="B32" s="8"/>
      <c r="C32" s="8"/>
      <c r="D32" s="40"/>
      <c r="E32" s="43">
        <v>9.6</v>
      </c>
      <c r="F32" s="8"/>
      <c r="G32" s="46" t="s">
        <v>40</v>
      </c>
      <c r="H32" s="7" t="s">
        <v>262</v>
      </c>
      <c r="I32" s="8"/>
      <c r="J32" s="8"/>
      <c r="K32" s="8">
        <v>21</v>
      </c>
      <c r="L32" s="107">
        <f>L24*E$37</f>
        <v>1380.672</v>
      </c>
      <c r="M32" s="117" t="s">
        <v>62</v>
      </c>
      <c r="N32" s="26"/>
      <c r="O32" s="27"/>
      <c r="P32" s="27"/>
      <c r="Q32" s="113">
        <f>Q30*E37</f>
        <v>92383.2</v>
      </c>
      <c r="R32" s="10" t="s">
        <v>79</v>
      </c>
    </row>
    <row r="33" spans="1:18" ht="15.95" customHeight="1" x14ac:dyDescent="0.25">
      <c r="A33" s="7" t="s">
        <v>39</v>
      </c>
      <c r="B33" s="8"/>
      <c r="C33" s="8"/>
      <c r="D33" s="8"/>
      <c r="E33" s="43">
        <v>2</v>
      </c>
      <c r="F33" s="8"/>
      <c r="G33" s="46"/>
      <c r="H33" s="7" t="s">
        <v>263</v>
      </c>
      <c r="I33" s="8"/>
      <c r="J33" s="8"/>
      <c r="K33" s="8"/>
      <c r="L33" s="107">
        <f>L25*E$37</f>
        <v>974.59199999999987</v>
      </c>
      <c r="M33" s="117" t="s">
        <v>62</v>
      </c>
      <c r="N33" s="8"/>
      <c r="O33" s="8"/>
      <c r="P33" s="8"/>
      <c r="Q33" s="8"/>
      <c r="R33" s="42"/>
    </row>
    <row r="34" spans="1:18" ht="15.95" customHeight="1" x14ac:dyDescent="0.25">
      <c r="A34" s="7" t="s">
        <v>303</v>
      </c>
      <c r="B34" s="8"/>
      <c r="C34" s="8"/>
      <c r="D34" s="8"/>
      <c r="E34" s="15">
        <v>0.85</v>
      </c>
      <c r="F34" s="425"/>
      <c r="G34" s="46"/>
      <c r="H34" s="7" t="s">
        <v>278</v>
      </c>
      <c r="I34" s="8"/>
      <c r="J34" s="8"/>
      <c r="K34" s="8"/>
      <c r="L34" s="107">
        <f t="shared" ref="L34" si="0">L26*E$37</f>
        <v>5279.04</v>
      </c>
      <c r="M34" s="117" t="s">
        <v>62</v>
      </c>
      <c r="N34" s="27"/>
      <c r="O34" s="27"/>
      <c r="P34" s="27"/>
      <c r="Q34" s="27"/>
      <c r="R34" s="52"/>
    </row>
    <row r="35" spans="1:18" ht="15.95" customHeight="1" x14ac:dyDescent="0.25">
      <c r="A35" s="7" t="s">
        <v>304</v>
      </c>
      <c r="B35" s="8"/>
      <c r="C35" s="8"/>
      <c r="D35" s="8"/>
      <c r="E35" s="48">
        <v>0.75</v>
      </c>
      <c r="F35" s="425"/>
      <c r="G35" s="46"/>
      <c r="H35" s="7" t="s">
        <v>264</v>
      </c>
      <c r="I35" s="8"/>
      <c r="J35" s="8"/>
      <c r="K35" s="8"/>
      <c r="L35" s="107">
        <f>L27*E$37</f>
        <v>1949.1839999999997</v>
      </c>
      <c r="M35" s="117" t="s">
        <v>62</v>
      </c>
    </row>
    <row r="36" spans="1:18" ht="15.95" customHeight="1" x14ac:dyDescent="0.25">
      <c r="A36" s="7" t="s">
        <v>121</v>
      </c>
      <c r="B36" s="8"/>
      <c r="C36" s="8"/>
      <c r="D36" s="8"/>
      <c r="E36" s="98">
        <f>E32*E33*E35</f>
        <v>14.399999999999999</v>
      </c>
      <c r="F36" s="8"/>
      <c r="G36" s="46" t="s">
        <v>297</v>
      </c>
      <c r="H36" s="7" t="s">
        <v>279</v>
      </c>
      <c r="I36" s="8"/>
      <c r="J36" s="8"/>
      <c r="K36" s="8"/>
      <c r="L36" s="107">
        <f>L28*E$37</f>
        <v>1624.32</v>
      </c>
      <c r="M36" s="117" t="s">
        <v>62</v>
      </c>
    </row>
    <row r="37" spans="1:18" ht="15.95" customHeight="1" x14ac:dyDescent="0.25">
      <c r="A37" s="7" t="s">
        <v>129</v>
      </c>
      <c r="B37" s="8"/>
      <c r="C37" s="8"/>
      <c r="D37" s="8"/>
      <c r="E37" s="74">
        <f>E36*E31</f>
        <v>4060.7999999999997</v>
      </c>
      <c r="F37" s="8"/>
      <c r="G37" s="46" t="s">
        <v>297</v>
      </c>
      <c r="H37" s="7" t="s">
        <v>265</v>
      </c>
      <c r="I37" s="8"/>
      <c r="J37" s="8"/>
      <c r="K37" s="8"/>
      <c r="L37" s="107">
        <f>L29*E$37</f>
        <v>304.56</v>
      </c>
      <c r="M37" s="117" t="s">
        <v>62</v>
      </c>
    </row>
    <row r="38" spans="1:18" ht="15.95" customHeight="1" x14ac:dyDescent="0.25">
      <c r="A38" s="7" t="s">
        <v>123</v>
      </c>
      <c r="B38" s="8"/>
      <c r="C38" s="8"/>
      <c r="D38" s="8"/>
      <c r="E38" s="9">
        <v>20000</v>
      </c>
      <c r="F38" s="9">
        <v>16000</v>
      </c>
      <c r="G38" s="46" t="s">
        <v>297</v>
      </c>
      <c r="H38" s="26" t="s">
        <v>116</v>
      </c>
      <c r="I38" s="27"/>
      <c r="J38" s="27"/>
      <c r="K38" s="27"/>
      <c r="L38" s="107">
        <f>L30*E$37</f>
        <v>16094.303999999998</v>
      </c>
      <c r="M38" s="118" t="s">
        <v>62</v>
      </c>
    </row>
    <row r="39" spans="1:18" ht="15.95" customHeight="1" x14ac:dyDescent="0.25">
      <c r="A39" s="7" t="s">
        <v>130</v>
      </c>
      <c r="B39" s="8"/>
      <c r="C39" s="8"/>
      <c r="D39" s="8"/>
      <c r="E39" s="99">
        <f>E38/E37</f>
        <v>4.9251379038613088</v>
      </c>
      <c r="F39" s="99">
        <f>F38/E37</f>
        <v>3.9401103230890469</v>
      </c>
      <c r="G39" s="46" t="s">
        <v>133</v>
      </c>
      <c r="H39" s="245" t="s">
        <v>75</v>
      </c>
      <c r="I39" s="5"/>
      <c r="J39" s="5"/>
      <c r="K39" s="5"/>
      <c r="L39" s="5"/>
      <c r="M39" s="30"/>
    </row>
    <row r="40" spans="1:18" ht="15.95" customHeight="1" x14ac:dyDescent="0.25">
      <c r="A40" s="7"/>
      <c r="B40" s="8"/>
      <c r="C40" s="8"/>
      <c r="D40" s="8"/>
      <c r="E40" s="8"/>
      <c r="F40" s="8"/>
      <c r="G40" s="8"/>
      <c r="H40" s="7" t="s">
        <v>266</v>
      </c>
      <c r="I40" s="8"/>
      <c r="J40" s="8"/>
      <c r="K40" s="8"/>
      <c r="L40" s="12">
        <v>19</v>
      </c>
      <c r="M40" s="10" t="s">
        <v>298</v>
      </c>
    </row>
    <row r="41" spans="1:18" ht="15.95" customHeight="1" x14ac:dyDescent="0.25">
      <c r="A41" s="92" t="s">
        <v>41</v>
      </c>
      <c r="B41" s="8"/>
      <c r="C41" s="8"/>
      <c r="D41" s="8"/>
      <c r="E41" s="8"/>
      <c r="F41" s="8"/>
      <c r="G41" s="8"/>
      <c r="H41" s="7" t="s">
        <v>267</v>
      </c>
      <c r="I41" s="8"/>
      <c r="J41" s="8"/>
      <c r="K41" s="8"/>
      <c r="L41" s="13">
        <v>12</v>
      </c>
      <c r="M41" s="10" t="s">
        <v>298</v>
      </c>
    </row>
    <row r="42" spans="1:18" ht="15.95" customHeight="1" x14ac:dyDescent="0.25">
      <c r="A42" s="7" t="s">
        <v>248</v>
      </c>
      <c r="B42" s="8" t="s">
        <v>249</v>
      </c>
      <c r="C42" s="8"/>
      <c r="D42" s="8"/>
      <c r="E42" s="63">
        <f>58000*25%</f>
        <v>14500</v>
      </c>
      <c r="F42" s="8"/>
      <c r="G42" s="117" t="s">
        <v>62</v>
      </c>
      <c r="H42" s="8" t="s">
        <v>280</v>
      </c>
      <c r="I42" s="8"/>
      <c r="J42" s="8"/>
      <c r="K42" s="8"/>
      <c r="L42" s="115">
        <f>L40*0.3</f>
        <v>5.7</v>
      </c>
      <c r="M42" s="10" t="s">
        <v>298</v>
      </c>
    </row>
    <row r="43" spans="1:18" ht="15.95" customHeight="1" x14ac:dyDescent="0.25">
      <c r="A43" s="7"/>
      <c r="B43" s="8" t="s">
        <v>250</v>
      </c>
      <c r="C43" s="8"/>
      <c r="D43" s="8"/>
      <c r="E43" s="63">
        <f>SUM(E8:F8)*1%</f>
        <v>5000</v>
      </c>
      <c r="F43" s="8"/>
      <c r="G43" s="117" t="s">
        <v>62</v>
      </c>
      <c r="H43" s="8" t="s">
        <v>281</v>
      </c>
      <c r="I43" s="8"/>
      <c r="J43" s="8"/>
      <c r="K43" s="8"/>
      <c r="L43" s="115">
        <f>L41*0.3</f>
        <v>3.5999999999999996</v>
      </c>
      <c r="M43" s="10" t="s">
        <v>298</v>
      </c>
    </row>
    <row r="44" spans="1:18" ht="15.95" customHeight="1" x14ac:dyDescent="0.25">
      <c r="A44" s="7" t="s">
        <v>42</v>
      </c>
      <c r="B44" s="8"/>
      <c r="C44" s="8"/>
      <c r="D44" s="8"/>
      <c r="E44" s="63">
        <f>2%*(E8+F8)</f>
        <v>10000</v>
      </c>
      <c r="F44" s="8"/>
      <c r="G44" s="117" t="s">
        <v>62</v>
      </c>
      <c r="H44" s="27" t="s">
        <v>282</v>
      </c>
      <c r="I44" s="27"/>
      <c r="J44" s="27"/>
      <c r="K44" s="27"/>
      <c r="L44" s="74">
        <f>SUM(L40:L43)*E37</f>
        <v>163650.24000000002</v>
      </c>
      <c r="M44" s="118" t="s">
        <v>62</v>
      </c>
    </row>
    <row r="45" spans="1:18" ht="15.95" customHeight="1" x14ac:dyDescent="0.25">
      <c r="A45" s="7" t="s">
        <v>76</v>
      </c>
      <c r="B45" s="8"/>
      <c r="C45" s="8"/>
      <c r="D45" s="8"/>
      <c r="E45" s="90"/>
      <c r="F45" s="8"/>
      <c r="G45" s="46"/>
      <c r="H45" s="53" t="s">
        <v>122</v>
      </c>
      <c r="I45" s="5"/>
      <c r="J45" s="5"/>
      <c r="K45" s="5"/>
      <c r="L45" s="8"/>
      <c r="M45" s="30"/>
    </row>
    <row r="46" spans="1:18" ht="15.95" customHeight="1" x14ac:dyDescent="0.25">
      <c r="A46" s="7"/>
      <c r="B46" s="8"/>
      <c r="C46" s="8"/>
      <c r="D46" s="8"/>
      <c r="E46" s="8"/>
      <c r="F46" s="8"/>
      <c r="G46" s="46"/>
      <c r="H46" s="7" t="s">
        <v>63</v>
      </c>
      <c r="I46" s="8"/>
      <c r="J46" s="8"/>
      <c r="K46" s="8"/>
      <c r="L46" s="63">
        <v>0</v>
      </c>
      <c r="M46" s="10"/>
    </row>
    <row r="47" spans="1:18" ht="15.95" customHeight="1" x14ac:dyDescent="0.25">
      <c r="A47" s="133" t="s">
        <v>43</v>
      </c>
      <c r="B47" s="27"/>
      <c r="C47" s="27"/>
      <c r="D47" s="36">
        <v>0.12</v>
      </c>
      <c r="E47" s="100">
        <f>SUM(D52,D56)*D47</f>
        <v>57941.812738249995</v>
      </c>
      <c r="F47" s="27"/>
      <c r="G47" s="439" t="s">
        <v>62</v>
      </c>
      <c r="H47" s="8" t="s">
        <v>64</v>
      </c>
      <c r="I47" s="8"/>
      <c r="J47" s="8"/>
      <c r="K47" s="8"/>
      <c r="L47" s="71">
        <v>0</v>
      </c>
      <c r="M47" s="10" t="s">
        <v>37</v>
      </c>
    </row>
    <row r="48" spans="1:18" ht="15.95" customHeight="1" thickBot="1" x14ac:dyDescent="0.3">
      <c r="B48" s="5"/>
      <c r="C48" s="5"/>
      <c r="D48" s="5"/>
      <c r="E48" s="5"/>
      <c r="F48" s="5"/>
      <c r="G48" s="8"/>
      <c r="H48" s="7" t="s">
        <v>65</v>
      </c>
      <c r="I48" s="8"/>
      <c r="J48" s="8"/>
      <c r="K48" s="8"/>
      <c r="L48" s="72">
        <f>L47*L46</f>
        <v>0</v>
      </c>
      <c r="M48" s="117" t="s">
        <v>62</v>
      </c>
    </row>
    <row r="49" spans="1:18" ht="15.95" customHeight="1" x14ac:dyDescent="0.25">
      <c r="A49" s="120" t="s">
        <v>48</v>
      </c>
      <c r="B49" s="501" t="s">
        <v>59</v>
      </c>
      <c r="C49" s="502"/>
      <c r="D49" s="503"/>
      <c r="E49" s="151" t="s">
        <v>61</v>
      </c>
      <c r="F49" s="152" t="s">
        <v>2</v>
      </c>
      <c r="G49" s="210"/>
      <c r="H49" s="26" t="s">
        <v>66</v>
      </c>
      <c r="I49" s="27"/>
      <c r="J49" s="27"/>
      <c r="K49" s="27"/>
      <c r="L49" s="114">
        <f>L48/E37</f>
        <v>0</v>
      </c>
      <c r="M49" s="28" t="s">
        <v>298</v>
      </c>
    </row>
    <row r="50" spans="1:18" ht="15.95" customHeight="1" x14ac:dyDescent="0.25">
      <c r="A50" s="79"/>
      <c r="B50" s="163" t="s">
        <v>298</v>
      </c>
      <c r="C50" s="164" t="s">
        <v>58</v>
      </c>
      <c r="D50" s="165" t="s">
        <v>62</v>
      </c>
      <c r="E50" s="163" t="s">
        <v>62</v>
      </c>
      <c r="F50" s="166" t="s">
        <v>88</v>
      </c>
      <c r="G50" s="211"/>
      <c r="H50" s="132" t="s">
        <v>86</v>
      </c>
      <c r="I50" s="5"/>
      <c r="J50" s="5"/>
      <c r="K50" s="5"/>
      <c r="L50" s="5"/>
      <c r="M50" s="30"/>
    </row>
    <row r="51" spans="1:18" ht="15.95" customHeight="1" x14ac:dyDescent="0.25">
      <c r="A51" s="121" t="s">
        <v>49</v>
      </c>
      <c r="B51" s="160">
        <f t="shared" ref="B51:B63" si="1">(D51/E$37)</f>
        <v>14.268570906779452</v>
      </c>
      <c r="C51" s="74">
        <f>D51/12</f>
        <v>4828.4843948541666</v>
      </c>
      <c r="D51" s="426">
        <f>+E47</f>
        <v>57941.812738249995</v>
      </c>
      <c r="E51" s="161">
        <f>D51*L$54</f>
        <v>231767.25095299998</v>
      </c>
      <c r="F51" s="162">
        <f>E51/E$64</f>
        <v>9.8360655737704916E-2</v>
      </c>
      <c r="G51" s="172"/>
      <c r="H51" s="57" t="s">
        <v>124</v>
      </c>
      <c r="I51" s="8"/>
      <c r="J51" s="8"/>
      <c r="K51" s="8"/>
      <c r="L51" s="50">
        <v>300000</v>
      </c>
      <c r="M51" s="47" t="s">
        <v>6</v>
      </c>
    </row>
    <row r="52" spans="1:18" ht="15.95" customHeight="1" x14ac:dyDescent="0.25">
      <c r="A52" s="121" t="s">
        <v>44</v>
      </c>
      <c r="B52" s="159">
        <f>SUM(B53:B55)</f>
        <v>38.364133446294389</v>
      </c>
      <c r="C52" s="104">
        <f>SUM(C53:C55)</f>
        <v>12982.422758226021</v>
      </c>
      <c r="D52" s="427">
        <f>SUM(D53:D55)</f>
        <v>155789.07309871225</v>
      </c>
      <c r="E52" s="158">
        <f>SUM(E53:E55)</f>
        <v>623156.29239484901</v>
      </c>
      <c r="F52" s="155">
        <f>SUM(F53:F55)</f>
        <v>0.26446385887134732</v>
      </c>
      <c r="G52" s="173"/>
      <c r="H52" s="57" t="s">
        <v>84</v>
      </c>
      <c r="I52" s="8"/>
      <c r="J52" s="8"/>
      <c r="K52" s="8"/>
      <c r="L52" s="111">
        <f>L51/E37</f>
        <v>73.877068557919628</v>
      </c>
      <c r="M52" s="47" t="s">
        <v>299</v>
      </c>
      <c r="N52" s="2"/>
      <c r="O52" s="2"/>
      <c r="P52" s="2"/>
      <c r="Q52" s="2"/>
      <c r="R52" s="2"/>
    </row>
    <row r="53" spans="1:18" ht="15.95" customHeight="1" x14ac:dyDescent="0.25">
      <c r="A53" s="122" t="s">
        <v>126</v>
      </c>
      <c r="B53" s="128">
        <f t="shared" si="1"/>
        <v>31.099555038098956</v>
      </c>
      <c r="C53" s="125">
        <f t="shared" ref="C53:C62" si="2">D53/12</f>
        <v>10524.089424892687</v>
      </c>
      <c r="D53" s="428">
        <f>+E18+F18</f>
        <v>126289.07309871224</v>
      </c>
      <c r="E53" s="130">
        <f>D53*L$54</f>
        <v>505156.29239484895</v>
      </c>
      <c r="F53" s="129">
        <f>E53/E$64</f>
        <v>0.21438535412434631</v>
      </c>
      <c r="G53" s="94"/>
      <c r="H53" s="57" t="s">
        <v>85</v>
      </c>
      <c r="I53" s="8"/>
      <c r="J53" s="8"/>
      <c r="K53" s="8"/>
      <c r="L53" s="114">
        <f>L51/Q32</f>
        <v>3.247343672875588</v>
      </c>
      <c r="M53" s="10"/>
    </row>
    <row r="54" spans="1:18" ht="15.95" customHeight="1" x14ac:dyDescent="0.25">
      <c r="A54" s="122" t="s">
        <v>46</v>
      </c>
      <c r="B54" s="128">
        <f t="shared" si="1"/>
        <v>2.4625689519306544</v>
      </c>
      <c r="C54" s="125">
        <f t="shared" si="2"/>
        <v>833.33333333333337</v>
      </c>
      <c r="D54" s="428">
        <f>E44</f>
        <v>10000</v>
      </c>
      <c r="E54" s="130">
        <f>D54*L$54</f>
        <v>40000</v>
      </c>
      <c r="F54" s="129">
        <f>E54/E$64</f>
        <v>1.6975764321017286E-2</v>
      </c>
      <c r="G54" s="94"/>
      <c r="H54" s="57" t="s">
        <v>87</v>
      </c>
      <c r="I54" s="8"/>
      <c r="J54" s="8"/>
      <c r="K54" s="8"/>
      <c r="L54" s="113">
        <f>ROUNDUP(L53,0)</f>
        <v>4</v>
      </c>
      <c r="M54" s="10"/>
    </row>
    <row r="55" spans="1:18" ht="15.95" customHeight="1" x14ac:dyDescent="0.25">
      <c r="A55" s="79" t="s">
        <v>77</v>
      </c>
      <c r="B55" s="176">
        <f>(D55/E$37)</f>
        <v>4.8020094562647762</v>
      </c>
      <c r="C55" s="125">
        <f>D55/12</f>
        <v>1625</v>
      </c>
      <c r="D55" s="428">
        <f>E42+E45+E43</f>
        <v>19500</v>
      </c>
      <c r="E55" s="130">
        <f>D55*L$54</f>
        <v>78000</v>
      </c>
      <c r="F55" s="129">
        <f>E55/E$64</f>
        <v>3.3102740425983705E-2</v>
      </c>
      <c r="G55" s="94"/>
      <c r="H55" s="57"/>
      <c r="I55" s="8"/>
      <c r="J55" s="8"/>
      <c r="K55" s="8"/>
      <c r="L55" s="150"/>
      <c r="M55" s="10"/>
    </row>
    <row r="56" spans="1:18" ht="15.95" customHeight="1" x14ac:dyDescent="0.25">
      <c r="A56" s="121" t="s">
        <v>47</v>
      </c>
      <c r="B56" s="159">
        <f>SUM(B57:B62)</f>
        <v>80.540624110201051</v>
      </c>
      <c r="C56" s="104">
        <f>SUM(C57:C62)</f>
        <v>27254.94719889203</v>
      </c>
      <c r="D56" s="427">
        <f>SUM(D57:D62)</f>
        <v>327059.36638670438</v>
      </c>
      <c r="E56" s="158">
        <f>SUM(E57:E62)</f>
        <v>1308237.4655468175</v>
      </c>
      <c r="F56" s="105">
        <f>SUM(F57:F62)</f>
        <v>0.55520827227619363</v>
      </c>
      <c r="G56" s="94"/>
      <c r="H56" s="7"/>
      <c r="I56" s="8"/>
      <c r="J56" s="8"/>
      <c r="K56" s="8"/>
      <c r="L56" s="8"/>
      <c r="M56" s="28"/>
    </row>
    <row r="57" spans="1:18" ht="15.75" x14ac:dyDescent="0.25">
      <c r="A57" s="122" t="s">
        <v>127</v>
      </c>
      <c r="B57" s="128">
        <f t="shared" si="1"/>
        <v>25.543445535015351</v>
      </c>
      <c r="C57" s="125">
        <f t="shared" si="2"/>
        <v>8643.9019690491932</v>
      </c>
      <c r="D57" s="428">
        <f>L31</f>
        <v>103726.82362859033</v>
      </c>
      <c r="E57" s="130">
        <f t="shared" ref="E57:E64" si="3">D57*L$54</f>
        <v>414907.2945143613</v>
      </c>
      <c r="F57" s="129">
        <f t="shared" ref="F57:F64" si="4">E57/E$64</f>
        <v>0.17608421116866763</v>
      </c>
      <c r="G57" s="93"/>
      <c r="H57" s="132" t="s">
        <v>92</v>
      </c>
      <c r="I57" s="5"/>
      <c r="J57" s="5"/>
      <c r="K57" s="5"/>
      <c r="L57" s="5"/>
      <c r="M57" s="6"/>
    </row>
    <row r="58" spans="1:18" x14ac:dyDescent="0.25">
      <c r="A58" s="122" t="s">
        <v>146</v>
      </c>
      <c r="B58" s="128">
        <f t="shared" si="1"/>
        <v>2.835</v>
      </c>
      <c r="C58" s="125">
        <f t="shared" si="2"/>
        <v>959.36399999999992</v>
      </c>
      <c r="D58" s="428">
        <f>SUM(L32:L37)</f>
        <v>11512.367999999999</v>
      </c>
      <c r="E58" s="130">
        <f t="shared" si="3"/>
        <v>46049.471999999994</v>
      </c>
      <c r="F58" s="129">
        <f t="shared" si="4"/>
        <v>1.9543124594482111E-2</v>
      </c>
      <c r="G58" s="94"/>
      <c r="H58" s="7"/>
      <c r="I58" s="8"/>
      <c r="J58" s="8"/>
      <c r="K58" s="8"/>
      <c r="L58" s="8"/>
      <c r="M58" s="42"/>
    </row>
    <row r="59" spans="1:18" x14ac:dyDescent="0.25">
      <c r="A59" s="123" t="s">
        <v>53</v>
      </c>
      <c r="B59" s="128">
        <f t="shared" si="1"/>
        <v>3.9633333333333334</v>
      </c>
      <c r="C59" s="125">
        <f t="shared" si="2"/>
        <v>1341.1919999999998</v>
      </c>
      <c r="D59" s="428">
        <f>L38</f>
        <v>16094.303999999998</v>
      </c>
      <c r="E59" s="130">
        <f t="shared" si="3"/>
        <v>64377.215999999993</v>
      </c>
      <c r="F59" s="129">
        <f t="shared" si="4"/>
        <v>2.7321311161480576E-2</v>
      </c>
      <c r="G59" s="94"/>
      <c r="H59" s="7" t="s">
        <v>98</v>
      </c>
      <c r="I59" s="8"/>
      <c r="J59" s="8"/>
      <c r="K59" s="8"/>
      <c r="L59" s="110">
        <f>E64/L51</f>
        <v>7.854334615629444</v>
      </c>
      <c r="M59" s="174" t="s">
        <v>93</v>
      </c>
    </row>
    <row r="60" spans="1:18" x14ac:dyDescent="0.25">
      <c r="A60" s="122" t="s">
        <v>271</v>
      </c>
      <c r="B60" s="128">
        <f t="shared" si="1"/>
        <v>40.300000000000004</v>
      </c>
      <c r="C60" s="125">
        <f t="shared" si="2"/>
        <v>13637.520000000002</v>
      </c>
      <c r="D60" s="428">
        <f>L44</f>
        <v>163650.24000000002</v>
      </c>
      <c r="E60" s="130">
        <f t="shared" si="3"/>
        <v>654600.96000000008</v>
      </c>
      <c r="F60" s="129">
        <f t="shared" si="4"/>
        <v>0.27780879053179164</v>
      </c>
      <c r="G60" s="94"/>
      <c r="H60" s="436" t="s">
        <v>94</v>
      </c>
      <c r="I60" s="8"/>
      <c r="J60" s="8"/>
      <c r="K60" s="8"/>
      <c r="L60" s="73">
        <f>L54</f>
        <v>4</v>
      </c>
      <c r="M60" s="42"/>
    </row>
    <row r="61" spans="1:18" s="2" customFormat="1" x14ac:dyDescent="0.25">
      <c r="A61" s="122" t="s">
        <v>45</v>
      </c>
      <c r="B61" s="128">
        <f>(D61/E$37)</f>
        <v>7.8988452418523574</v>
      </c>
      <c r="C61" s="125">
        <f>D61/12</f>
        <v>2672.9692298428376</v>
      </c>
      <c r="D61" s="428">
        <f>Q16</f>
        <v>32075.63075811405</v>
      </c>
      <c r="E61" s="130">
        <f t="shared" si="3"/>
        <v>128302.5230324562</v>
      </c>
      <c r="F61" s="129">
        <f t="shared" si="4"/>
        <v>5.4450834819771712E-2</v>
      </c>
      <c r="G61" s="94"/>
      <c r="H61" s="7" t="s">
        <v>95</v>
      </c>
      <c r="I61" s="8"/>
      <c r="J61" s="8"/>
      <c r="K61" s="8"/>
      <c r="L61" s="74">
        <f>+L54*Q9*E33</f>
        <v>9.1999999999999993</v>
      </c>
      <c r="M61" s="42"/>
      <c r="N61" s="3"/>
      <c r="O61" s="3"/>
      <c r="P61" s="3"/>
      <c r="Q61" s="3"/>
      <c r="R61" s="3"/>
    </row>
    <row r="62" spans="1:18" x14ac:dyDescent="0.25">
      <c r="A62" s="122" t="s">
        <v>71</v>
      </c>
      <c r="B62" s="128">
        <f t="shared" si="1"/>
        <v>0</v>
      </c>
      <c r="C62" s="125">
        <f t="shared" si="2"/>
        <v>0</v>
      </c>
      <c r="D62" s="428">
        <f>L48</f>
        <v>0</v>
      </c>
      <c r="E62" s="130">
        <f t="shared" si="3"/>
        <v>0</v>
      </c>
      <c r="F62" s="129">
        <f t="shared" si="4"/>
        <v>0</v>
      </c>
      <c r="G62" s="93"/>
      <c r="H62" s="7"/>
      <c r="I62" s="8"/>
      <c r="J62" s="8"/>
      <c r="K62" s="8"/>
      <c r="L62" s="8"/>
      <c r="M62" s="42"/>
    </row>
    <row r="63" spans="1:18" ht="15.75" x14ac:dyDescent="0.25">
      <c r="A63" s="121" t="s">
        <v>73</v>
      </c>
      <c r="B63" s="167">
        <f t="shared" si="1"/>
        <v>11.890475755649545</v>
      </c>
      <c r="C63" s="95">
        <f>D63/12</f>
        <v>4023.7369957118058</v>
      </c>
      <c r="D63" s="429">
        <f>(D56+D52)*10%</f>
        <v>48284.843948541667</v>
      </c>
      <c r="E63" s="157">
        <f t="shared" si="3"/>
        <v>193139.37579416667</v>
      </c>
      <c r="F63" s="169">
        <f t="shared" si="4"/>
        <v>8.1967213114754106E-2</v>
      </c>
      <c r="G63" s="2"/>
      <c r="H63" s="57" t="s">
        <v>129</v>
      </c>
      <c r="I63" s="8"/>
      <c r="J63" s="8"/>
      <c r="K63" s="8"/>
      <c r="L63" s="72">
        <f>E37*L60</f>
        <v>16243.199999999999</v>
      </c>
      <c r="M63" s="10" t="s">
        <v>300</v>
      </c>
    </row>
    <row r="64" spans="1:18" ht="19.5" thickBot="1" x14ac:dyDescent="0.35">
      <c r="A64" s="412" t="s">
        <v>3</v>
      </c>
      <c r="B64" s="413">
        <f>(D64/E$37)</f>
        <v>145.06380421892445</v>
      </c>
      <c r="C64" s="414">
        <f>D64/12</f>
        <v>49089.591347684029</v>
      </c>
      <c r="D64" s="415">
        <f>D56+D52+D51+D63</f>
        <v>589075.09617220832</v>
      </c>
      <c r="E64" s="418">
        <f t="shared" si="3"/>
        <v>2356300.3846888333</v>
      </c>
      <c r="F64" s="417">
        <f t="shared" si="4"/>
        <v>1</v>
      </c>
      <c r="H64" s="7" t="s">
        <v>96</v>
      </c>
      <c r="I64" s="8"/>
      <c r="J64" s="8"/>
      <c r="K64" s="8"/>
      <c r="L64" s="73">
        <f>(E17+F17)*L60</f>
        <v>2100000</v>
      </c>
      <c r="M64" s="42" t="s">
        <v>37</v>
      </c>
    </row>
    <row r="65" spans="2:13" x14ac:dyDescent="0.25">
      <c r="C65" s="3" t="s">
        <v>0</v>
      </c>
      <c r="D65" s="58"/>
      <c r="E65" s="58"/>
      <c r="H65" s="7" t="s">
        <v>97</v>
      </c>
      <c r="I65" s="8"/>
      <c r="J65" s="8"/>
      <c r="K65" s="8"/>
      <c r="L65" s="73">
        <f>(E20+F20)*L60</f>
        <v>320000</v>
      </c>
      <c r="M65" s="42"/>
    </row>
    <row r="66" spans="2:13" x14ac:dyDescent="0.25">
      <c r="B66" s="170"/>
      <c r="C66" s="170"/>
      <c r="D66" s="170"/>
      <c r="E66" s="170"/>
      <c r="F66" s="170"/>
      <c r="H66" s="57" t="s">
        <v>128</v>
      </c>
      <c r="I66" s="8"/>
      <c r="J66" s="8"/>
      <c r="K66" s="8"/>
      <c r="L66" s="74">
        <f>E64</f>
        <v>2356300.3846888333</v>
      </c>
      <c r="M66" s="42"/>
    </row>
    <row r="67" spans="2:13" x14ac:dyDescent="0.25">
      <c r="E67" s="254"/>
      <c r="H67" s="7"/>
      <c r="I67" s="8"/>
      <c r="J67" s="8"/>
      <c r="K67" s="8"/>
      <c r="L67" s="8"/>
      <c r="M67" s="42"/>
    </row>
    <row r="68" spans="2:13" x14ac:dyDescent="0.25">
      <c r="E68" s="254"/>
      <c r="H68" s="26"/>
      <c r="I68" s="27"/>
      <c r="J68" s="27"/>
      <c r="K68" s="27"/>
      <c r="L68" s="27"/>
      <c r="M68" s="52"/>
    </row>
    <row r="72" spans="2:13" x14ac:dyDescent="0.25">
      <c r="E72" s="58"/>
      <c r="H72" s="2"/>
      <c r="I72" s="2"/>
      <c r="J72" s="2"/>
      <c r="K72" s="2"/>
      <c r="L72" s="2"/>
      <c r="M72" s="2"/>
    </row>
    <row r="75" spans="2:13" x14ac:dyDescent="0.25">
      <c r="E75" s="3" t="s">
        <v>0</v>
      </c>
    </row>
  </sheetData>
  <mergeCells count="1">
    <mergeCell ref="B49:D49"/>
  </mergeCells>
  <phoneticPr fontId="0" type="noConversion"/>
  <pageMargins left="0.75" right="0.75" top="1" bottom="1" header="0.5" footer="0.5"/>
  <pageSetup paperSize="9" scale="47" orientation="portrait" horizontalDpi="4294967292" verticalDpi="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>
      <selection activeCell="A6" sqref="A6"/>
    </sheetView>
  </sheetViews>
  <sheetFormatPr baseColWidth="10" defaultColWidth="9.140625" defaultRowHeight="12.75" x14ac:dyDescent="0.2"/>
  <cols>
    <col min="1" max="1" width="21" customWidth="1"/>
    <col min="2" max="2" width="12" customWidth="1"/>
    <col min="3" max="3" width="34.85546875" bestFit="1" customWidth="1"/>
    <col min="4" max="4" width="21.42578125" customWidth="1"/>
    <col min="5" max="5" width="21.5703125" bestFit="1" customWidth="1"/>
    <col min="6" max="6" width="17.28515625" bestFit="1" customWidth="1"/>
  </cols>
  <sheetData>
    <row r="1" spans="1:6" s="1" customFormat="1" ht="31.5" customHeight="1" x14ac:dyDescent="0.2">
      <c r="A1" s="1" t="s">
        <v>9</v>
      </c>
      <c r="B1" s="1" t="s">
        <v>10</v>
      </c>
      <c r="C1" s="1" t="s">
        <v>99</v>
      </c>
      <c r="D1" s="1" t="s">
        <v>204</v>
      </c>
    </row>
    <row r="2" spans="1:6" x14ac:dyDescent="0.2">
      <c r="A2" t="s">
        <v>286</v>
      </c>
      <c r="B2" t="s">
        <v>12</v>
      </c>
      <c r="C2" t="s">
        <v>13</v>
      </c>
      <c r="D2">
        <v>0.05</v>
      </c>
      <c r="E2" s="91" t="s">
        <v>205</v>
      </c>
      <c r="F2">
        <v>33.213999999999999</v>
      </c>
    </row>
    <row r="3" spans="1:6" x14ac:dyDescent="0.2">
      <c r="A3" t="s">
        <v>287</v>
      </c>
      <c r="B3" t="s">
        <v>14</v>
      </c>
      <c r="C3" t="s">
        <v>15</v>
      </c>
      <c r="D3">
        <v>0.1</v>
      </c>
      <c r="E3" s="91" t="s">
        <v>284</v>
      </c>
      <c r="F3">
        <v>40.4</v>
      </c>
    </row>
    <row r="4" spans="1:6" x14ac:dyDescent="0.2">
      <c r="A4" t="s">
        <v>288</v>
      </c>
      <c r="B4" s="91" t="s">
        <v>120</v>
      </c>
      <c r="C4" t="s">
        <v>16</v>
      </c>
      <c r="D4">
        <v>0.15</v>
      </c>
      <c r="E4" s="91" t="s">
        <v>283</v>
      </c>
      <c r="F4">
        <v>49.2</v>
      </c>
    </row>
    <row r="5" spans="1:6" x14ac:dyDescent="0.2">
      <c r="A5" t="s">
        <v>289</v>
      </c>
      <c r="B5" s="91" t="s">
        <v>83</v>
      </c>
      <c r="C5" t="s">
        <v>17</v>
      </c>
      <c r="D5">
        <v>0.2</v>
      </c>
    </row>
    <row r="6" spans="1:6" x14ac:dyDescent="0.2">
      <c r="A6" t="s">
        <v>290</v>
      </c>
      <c r="B6" t="s">
        <v>18</v>
      </c>
      <c r="C6" t="s">
        <v>19</v>
      </c>
      <c r="D6">
        <v>0.25</v>
      </c>
    </row>
    <row r="7" spans="1:6" x14ac:dyDescent="0.2">
      <c r="A7" t="s">
        <v>291</v>
      </c>
      <c r="B7" t="s">
        <v>20</v>
      </c>
      <c r="C7" t="s">
        <v>21</v>
      </c>
      <c r="D7">
        <v>0.3</v>
      </c>
    </row>
    <row r="8" spans="1:6" x14ac:dyDescent="0.2">
      <c r="A8" s="91" t="s">
        <v>292</v>
      </c>
      <c r="B8" t="s">
        <v>22</v>
      </c>
      <c r="C8" t="s">
        <v>23</v>
      </c>
      <c r="D8">
        <v>0.35</v>
      </c>
    </row>
    <row r="9" spans="1:6" x14ac:dyDescent="0.2">
      <c r="A9" t="s">
        <v>293</v>
      </c>
      <c r="C9" t="s">
        <v>24</v>
      </c>
      <c r="D9">
        <v>0.4</v>
      </c>
    </row>
    <row r="10" spans="1:6" x14ac:dyDescent="0.2">
      <c r="A10" s="91" t="s">
        <v>294</v>
      </c>
      <c r="C10" s="91" t="s">
        <v>206</v>
      </c>
      <c r="D10">
        <v>0.45</v>
      </c>
    </row>
    <row r="11" spans="1:6" x14ac:dyDescent="0.2">
      <c r="A11" t="s">
        <v>295</v>
      </c>
      <c r="C11" s="91" t="s">
        <v>207</v>
      </c>
      <c r="D11">
        <v>0.5</v>
      </c>
    </row>
    <row r="12" spans="1:6" x14ac:dyDescent="0.2">
      <c r="D12">
        <v>0.55000000000000004</v>
      </c>
    </row>
    <row r="13" spans="1:6" x14ac:dyDescent="0.2">
      <c r="D13">
        <v>0.6</v>
      </c>
    </row>
    <row r="14" spans="1:6" x14ac:dyDescent="0.2">
      <c r="D14">
        <v>0.65</v>
      </c>
    </row>
    <row r="15" spans="1:6" x14ac:dyDescent="0.2">
      <c r="D15">
        <v>0.7</v>
      </c>
    </row>
    <row r="16" spans="1:6" x14ac:dyDescent="0.2">
      <c r="D16">
        <v>0.75</v>
      </c>
    </row>
    <row r="17" spans="4:4" x14ac:dyDescent="0.2">
      <c r="D17">
        <v>0.8</v>
      </c>
    </row>
    <row r="18" spans="4:4" x14ac:dyDescent="0.2">
      <c r="D18">
        <v>0.85</v>
      </c>
    </row>
    <row r="19" spans="4:4" x14ac:dyDescent="0.2">
      <c r="D19">
        <v>0.9</v>
      </c>
    </row>
    <row r="20" spans="4:4" x14ac:dyDescent="0.2">
      <c r="D20">
        <v>0.95</v>
      </c>
    </row>
    <row r="21" spans="4:4" x14ac:dyDescent="0.2">
      <c r="D21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Matriz de flota</vt:lpstr>
      <vt:lpstr>Indicadores proyecto</vt:lpstr>
      <vt:lpstr>Resumen costos</vt:lpstr>
      <vt:lpstr>Administración</vt:lpstr>
      <vt:lpstr>Forwarder</vt:lpstr>
      <vt:lpstr>Harvester</vt:lpstr>
      <vt:lpstr>Listas</vt:lpstr>
      <vt:lpstr>Forwarder!Área_de_impresión</vt:lpstr>
      <vt:lpstr>Harvester!Área_de_impresión</vt:lpstr>
      <vt:lpstr>'Indicadores proyecto'!Área_de_impresión</vt:lpstr>
      <vt:lpstr>'Matriz de flota'!Área_de_impresión</vt:lpstr>
      <vt:lpstr>dolar</vt:lpstr>
    </vt:vector>
  </TitlesOfParts>
  <Company>AO Servicios Forestales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AO</dc:creator>
  <cp:lastModifiedBy>Alejandro Olivera</cp:lastModifiedBy>
  <cp:lastPrinted>2007-06-24T06:46:39Z</cp:lastPrinted>
  <dcterms:created xsi:type="dcterms:W3CDTF">2000-07-31T14:33:45Z</dcterms:created>
  <dcterms:modified xsi:type="dcterms:W3CDTF">2018-10-01T17:24:51Z</dcterms:modified>
</cp:coreProperties>
</file>